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HWZ627\Desktop\"/>
    </mc:Choice>
  </mc:AlternateContent>
  <bookViews>
    <workbookView xWindow="0" yWindow="600" windowWidth="2370" windowHeight="1215" tabRatio="735" activeTab="6"/>
  </bookViews>
  <sheets>
    <sheet name="Introduction" sheetId="22" r:id="rId1"/>
    <sheet name="FAQ" sheetId="33" r:id="rId2"/>
    <sheet name="A. HTT General" sheetId="25" r:id="rId3"/>
    <sheet name="B1. HTT Mortgage Assets" sheetId="9" r:id="rId4"/>
    <sheet name="C. HTT Harmonised Glossary" sheetId="11" r:id="rId5"/>
    <sheet name="Disclaimer" sheetId="31" r:id="rId6"/>
    <sheet name="E. Optional ECB-ECAIs data" sheetId="32" r:id="rId7"/>
  </sheets>
  <definedNames>
    <definedName name="acceptable_use_policy" localSheetId="5">Disclaimer!#REF!</definedName>
    <definedName name="general_tc" localSheetId="5">Disclaimer!$A$61</definedName>
    <definedName name="_xlnm.Print_Area" localSheetId="2">'A. HTT General'!$A$1:$G$323</definedName>
    <definedName name="_xlnm.Print_Area" localSheetId="3">'B1. HTT Mortgage Assets'!$A$1:$G$341</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0">Introduction!$B$2:$J$35</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44" i="9" l="1"/>
  <c r="D44" i="9"/>
  <c r="C44" i="9"/>
  <c r="C168" i="9"/>
  <c r="C282" i="25"/>
  <c r="C283" i="25"/>
  <c r="C284" i="25"/>
  <c r="C285" i="25"/>
  <c r="C286" i="25"/>
  <c r="D286" i="25"/>
  <c r="C287" i="25"/>
  <c r="C288" i="25"/>
  <c r="C289" i="25"/>
  <c r="C290" i="25"/>
  <c r="C291" i="25"/>
  <c r="C292" i="25"/>
  <c r="C293" i="25"/>
  <c r="C294" i="25"/>
  <c r="C42" i="25"/>
  <c r="G212" i="25" l="1"/>
  <c r="G213" i="25"/>
  <c r="G216" i="25"/>
  <c r="G211" i="25"/>
  <c r="F212" i="25"/>
  <c r="F213" i="25"/>
  <c r="F216" i="25"/>
  <c r="F211" i="25"/>
  <c r="D45" i="25" l="1"/>
  <c r="C161" i="9" l="1"/>
  <c r="G310" i="9" l="1"/>
  <c r="G309" i="9"/>
  <c r="G308" i="9"/>
  <c r="G307" i="9"/>
  <c r="G306" i="9"/>
  <c r="G305" i="9"/>
  <c r="D304" i="9"/>
  <c r="G303" i="9" s="1"/>
  <c r="C304" i="9"/>
  <c r="F310" i="9" s="1"/>
  <c r="G301" i="9"/>
  <c r="F301" i="9"/>
  <c r="G300" i="9"/>
  <c r="G299" i="9"/>
  <c r="F298" i="9"/>
  <c r="G297" i="9"/>
  <c r="F297" i="9"/>
  <c r="G296" i="9"/>
  <c r="D281" i="9"/>
  <c r="D282" i="9" s="1"/>
  <c r="C281" i="9"/>
  <c r="C282" i="9" s="1"/>
  <c r="D269" i="9"/>
  <c r="C269" i="9"/>
  <c r="F266" i="9" s="1"/>
  <c r="G268" i="9"/>
  <c r="F268" i="9"/>
  <c r="G267" i="9"/>
  <c r="G266" i="9"/>
  <c r="G265" i="9"/>
  <c r="F265" i="9"/>
  <c r="G264" i="9"/>
  <c r="F264" i="9"/>
  <c r="G263" i="9"/>
  <c r="G262" i="9"/>
  <c r="G261" i="9"/>
  <c r="F261" i="9"/>
  <c r="G260" i="9"/>
  <c r="F260" i="9"/>
  <c r="G259" i="9"/>
  <c r="G258" i="9"/>
  <c r="D255" i="9"/>
  <c r="C255" i="9"/>
  <c r="G223" i="9"/>
  <c r="G222" i="9"/>
  <c r="G221" i="9"/>
  <c r="G220" i="9"/>
  <c r="G219" i="9"/>
  <c r="G218" i="9"/>
  <c r="D217" i="9"/>
  <c r="G216" i="9" s="1"/>
  <c r="C217" i="9"/>
  <c r="F223" i="9" s="1"/>
  <c r="F216" i="9"/>
  <c r="G215" i="9"/>
  <c r="F215" i="9"/>
  <c r="G214" i="9"/>
  <c r="F214" i="9"/>
  <c r="G212" i="9"/>
  <c r="F212" i="9"/>
  <c r="G211" i="9"/>
  <c r="F211" i="9"/>
  <c r="G210" i="9"/>
  <c r="F210" i="9"/>
  <c r="D194" i="9"/>
  <c r="D195" i="9" s="1"/>
  <c r="C194" i="9"/>
  <c r="C195" i="9" s="1"/>
  <c r="D182" i="9"/>
  <c r="G180" i="9" s="1"/>
  <c r="C182" i="9"/>
  <c r="F179" i="9" s="1"/>
  <c r="D168" i="9"/>
  <c r="D161" i="9"/>
  <c r="D155" i="9"/>
  <c r="C155" i="9"/>
  <c r="D154" i="9"/>
  <c r="C154" i="9"/>
  <c r="F154" i="9" s="1"/>
  <c r="D153" i="9"/>
  <c r="C153" i="9"/>
  <c r="F153" i="9" s="1"/>
  <c r="D152" i="9"/>
  <c r="C152" i="9"/>
  <c r="D151" i="9"/>
  <c r="C151" i="9"/>
  <c r="D146" i="9"/>
  <c r="C146" i="9"/>
  <c r="F146" i="9" s="1"/>
  <c r="D145" i="9"/>
  <c r="C145" i="9"/>
  <c r="F145" i="9" s="1"/>
  <c r="D144" i="9"/>
  <c r="D143" i="9" s="1"/>
  <c r="C144" i="9"/>
  <c r="D142" i="9"/>
  <c r="C142" i="9"/>
  <c r="D141" i="9"/>
  <c r="C141" i="9"/>
  <c r="F141" i="9" s="1"/>
  <c r="D132" i="9"/>
  <c r="C132" i="9"/>
  <c r="F132" i="9" s="1"/>
  <c r="D131" i="9"/>
  <c r="C131" i="9"/>
  <c r="F131" i="9" s="1"/>
  <c r="D114" i="9"/>
  <c r="C114" i="9"/>
  <c r="D113" i="9"/>
  <c r="C113" i="9"/>
  <c r="F113" i="9" s="1"/>
  <c r="D112" i="9"/>
  <c r="C112" i="9"/>
  <c r="F112" i="9" s="1"/>
  <c r="D111" i="9"/>
  <c r="C111" i="9"/>
  <c r="F111" i="9" s="1"/>
  <c r="D110" i="9"/>
  <c r="C110" i="9"/>
  <c r="D109" i="9"/>
  <c r="C109" i="9"/>
  <c r="F109" i="9" s="1"/>
  <c r="D108" i="9"/>
  <c r="C108" i="9"/>
  <c r="F108" i="9" s="1"/>
  <c r="D107" i="9"/>
  <c r="C107" i="9"/>
  <c r="F107" i="9" s="1"/>
  <c r="D106" i="9"/>
  <c r="C106" i="9"/>
  <c r="D105" i="9"/>
  <c r="C105" i="9"/>
  <c r="F105" i="9" s="1"/>
  <c r="D104" i="9"/>
  <c r="C104" i="9"/>
  <c r="F104" i="9" s="1"/>
  <c r="D103" i="9"/>
  <c r="C103" i="9"/>
  <c r="F103" i="9" s="1"/>
  <c r="D102" i="9"/>
  <c r="C102" i="9"/>
  <c r="D101" i="9"/>
  <c r="C101" i="9"/>
  <c r="F101" i="9" s="1"/>
  <c r="D100" i="9"/>
  <c r="C100" i="9"/>
  <c r="F100" i="9" s="1"/>
  <c r="D99" i="9"/>
  <c r="C99" i="9"/>
  <c r="F99" i="9" s="1"/>
  <c r="F77" i="9"/>
  <c r="D77" i="9"/>
  <c r="C77" i="9"/>
  <c r="F73" i="9"/>
  <c r="D73" i="9"/>
  <c r="C73" i="9"/>
  <c r="D36" i="9"/>
  <c r="C36" i="9"/>
  <c r="F25" i="9"/>
  <c r="F23" i="9"/>
  <c r="F21" i="9"/>
  <c r="F19" i="9"/>
  <c r="F17" i="9"/>
  <c r="C15" i="9"/>
  <c r="F14" i="9" s="1"/>
  <c r="F13" i="9"/>
  <c r="F12" i="9"/>
  <c r="C214" i="25"/>
  <c r="C202" i="25"/>
  <c r="F208" i="25" s="1"/>
  <c r="C201" i="25"/>
  <c r="F199" i="25"/>
  <c r="F197" i="25"/>
  <c r="C173" i="25"/>
  <c r="F185" i="25" s="1"/>
  <c r="C161" i="25"/>
  <c r="F160" i="25" s="1"/>
  <c r="F159" i="25"/>
  <c r="C147" i="25"/>
  <c r="F133" i="25" s="1"/>
  <c r="F145" i="25"/>
  <c r="D134" i="25"/>
  <c r="D133" i="25"/>
  <c r="F132" i="25"/>
  <c r="D132" i="25"/>
  <c r="C121" i="25"/>
  <c r="F130" i="25" s="1"/>
  <c r="F113" i="25"/>
  <c r="D108" i="25"/>
  <c r="D107" i="25"/>
  <c r="D106" i="25"/>
  <c r="D97" i="25"/>
  <c r="G92" i="25" s="1"/>
  <c r="C97" i="25"/>
  <c r="F94" i="25" s="1"/>
  <c r="G93" i="25"/>
  <c r="G84" i="25"/>
  <c r="G83" i="25"/>
  <c r="G82" i="25"/>
  <c r="G81" i="25"/>
  <c r="G80" i="25"/>
  <c r="G79" i="25"/>
  <c r="G78" i="25"/>
  <c r="G77" i="25"/>
  <c r="G76" i="25"/>
  <c r="C76" i="25"/>
  <c r="F81" i="25" s="1"/>
  <c r="G75" i="25"/>
  <c r="G74" i="25"/>
  <c r="G73" i="25"/>
  <c r="G72" i="25"/>
  <c r="G71" i="25"/>
  <c r="G70" i="25"/>
  <c r="F70" i="25"/>
  <c r="G69" i="25"/>
  <c r="F69" i="25"/>
  <c r="C58" i="25"/>
  <c r="F189" i="25" l="1"/>
  <c r="G221" i="25"/>
  <c r="C215" i="25"/>
  <c r="F214" i="25"/>
  <c r="G214" i="25"/>
  <c r="F187" i="25"/>
  <c r="F71" i="25"/>
  <c r="G90" i="25"/>
  <c r="F191" i="25"/>
  <c r="G91" i="25"/>
  <c r="F109" i="25"/>
  <c r="F193" i="25"/>
  <c r="F111" i="25"/>
  <c r="F195" i="25"/>
  <c r="F178" i="9"/>
  <c r="F15" i="9"/>
  <c r="F141" i="25"/>
  <c r="F173" i="9"/>
  <c r="F177" i="9"/>
  <c r="F181" i="9"/>
  <c r="G269" i="9"/>
  <c r="F143" i="25"/>
  <c r="C143" i="9"/>
  <c r="F143" i="9" s="1"/>
  <c r="F152" i="9"/>
  <c r="G173" i="9"/>
  <c r="G177" i="9"/>
  <c r="G181" i="9"/>
  <c r="F259" i="9"/>
  <c r="F263" i="9"/>
  <c r="F267" i="9"/>
  <c r="F296" i="9"/>
  <c r="F300" i="9"/>
  <c r="G174" i="9"/>
  <c r="G175" i="9"/>
  <c r="G179" i="9"/>
  <c r="F117" i="25"/>
  <c r="F137" i="25"/>
  <c r="F102" i="9"/>
  <c r="F106" i="9"/>
  <c r="F110" i="9"/>
  <c r="F114" i="9"/>
  <c r="F142" i="9"/>
  <c r="F172" i="9"/>
  <c r="F176" i="9"/>
  <c r="F180" i="9"/>
  <c r="F209" i="9"/>
  <c r="F213" i="9"/>
  <c r="F217" i="9" s="1"/>
  <c r="G298" i="9"/>
  <c r="G304" i="9" s="1"/>
  <c r="G302" i="9"/>
  <c r="F174" i="9"/>
  <c r="G178" i="9"/>
  <c r="F171" i="9"/>
  <c r="F175" i="9"/>
  <c r="F115" i="25"/>
  <c r="F135" i="25"/>
  <c r="G171" i="9"/>
  <c r="F302" i="9"/>
  <c r="D121" i="25"/>
  <c r="F119" i="25"/>
  <c r="F139" i="25"/>
  <c r="F26" i="9"/>
  <c r="F161" i="9"/>
  <c r="F36" i="9"/>
  <c r="F151" i="9"/>
  <c r="F155" i="9"/>
  <c r="G172" i="9"/>
  <c r="G176" i="9"/>
  <c r="G209" i="9"/>
  <c r="G213" i="9"/>
  <c r="F258" i="9"/>
  <c r="F262" i="9"/>
  <c r="F299" i="9"/>
  <c r="G217" i="9"/>
  <c r="F303" i="9"/>
  <c r="F90" i="25"/>
  <c r="F91" i="25"/>
  <c r="F92" i="25"/>
  <c r="F93" i="25"/>
  <c r="F106" i="25"/>
  <c r="F107" i="25"/>
  <c r="F108" i="25"/>
  <c r="F110" i="25"/>
  <c r="F112" i="25"/>
  <c r="F114" i="25"/>
  <c r="F116" i="25"/>
  <c r="F118" i="25"/>
  <c r="F120" i="25"/>
  <c r="D147" i="25"/>
  <c r="G156" i="25" s="1"/>
  <c r="F134" i="25"/>
  <c r="F136" i="25"/>
  <c r="F138" i="25"/>
  <c r="F140" i="25"/>
  <c r="F142" i="25"/>
  <c r="F144" i="25"/>
  <c r="F146" i="25"/>
  <c r="F158" i="25"/>
  <c r="F161" i="25" s="1"/>
  <c r="F169" i="25"/>
  <c r="F64" i="25"/>
  <c r="G94" i="25"/>
  <c r="G96" i="25"/>
  <c r="G95" i="25"/>
  <c r="F171" i="25"/>
  <c r="F218" i="25"/>
  <c r="F220" i="25"/>
  <c r="F217" i="25"/>
  <c r="F219" i="25"/>
  <c r="F221" i="25"/>
  <c r="G201" i="9"/>
  <c r="G200" i="9"/>
  <c r="G199" i="9"/>
  <c r="G198" i="9"/>
  <c r="G197" i="9"/>
  <c r="G196" i="9"/>
  <c r="G194" i="9"/>
  <c r="G193" i="9"/>
  <c r="G192" i="9"/>
  <c r="G191" i="9"/>
  <c r="G190" i="9"/>
  <c r="G189" i="9"/>
  <c r="G188" i="9"/>
  <c r="G187" i="9"/>
  <c r="G288" i="9"/>
  <c r="G287" i="9"/>
  <c r="G286" i="9"/>
  <c r="G285" i="9"/>
  <c r="G284" i="9"/>
  <c r="G283" i="9"/>
  <c r="G281" i="9"/>
  <c r="G280" i="9"/>
  <c r="G279" i="9"/>
  <c r="G278" i="9"/>
  <c r="G277" i="9"/>
  <c r="G276" i="9"/>
  <c r="G275" i="9"/>
  <c r="G274" i="9"/>
  <c r="G107" i="25"/>
  <c r="G130" i="25"/>
  <c r="G129" i="25"/>
  <c r="G127" i="25"/>
  <c r="G126" i="25"/>
  <c r="G124" i="25"/>
  <c r="G122" i="25"/>
  <c r="G119" i="25"/>
  <c r="G117" i="25"/>
  <c r="G116" i="25"/>
  <c r="G113" i="25"/>
  <c r="G111" i="25"/>
  <c r="G109" i="25"/>
  <c r="G106" i="25"/>
  <c r="G128" i="25"/>
  <c r="G125" i="25"/>
  <c r="G123" i="25"/>
  <c r="G120" i="25"/>
  <c r="G118" i="25"/>
  <c r="G115" i="25"/>
  <c r="G114" i="25"/>
  <c r="G112" i="25"/>
  <c r="G110" i="25"/>
  <c r="G108" i="25"/>
  <c r="F201" i="9"/>
  <c r="F200" i="9"/>
  <c r="F199" i="9"/>
  <c r="F198" i="9"/>
  <c r="F197" i="9"/>
  <c r="F196" i="9"/>
  <c r="F194" i="9"/>
  <c r="F193" i="9"/>
  <c r="F192" i="9"/>
  <c r="F191" i="9"/>
  <c r="F190" i="9"/>
  <c r="F189" i="9"/>
  <c r="F188" i="9"/>
  <c r="F187" i="9"/>
  <c r="F288" i="9"/>
  <c r="F287" i="9"/>
  <c r="F286" i="9"/>
  <c r="F285" i="9"/>
  <c r="F284" i="9"/>
  <c r="F283" i="9"/>
  <c r="F281" i="9"/>
  <c r="F280" i="9"/>
  <c r="F279" i="9"/>
  <c r="F278" i="9"/>
  <c r="F277" i="9"/>
  <c r="F276" i="9"/>
  <c r="F275" i="9"/>
  <c r="F274" i="9"/>
  <c r="F61" i="25"/>
  <c r="F63" i="25"/>
  <c r="F72" i="25"/>
  <c r="F73" i="25"/>
  <c r="F74" i="25"/>
  <c r="F75" i="25"/>
  <c r="F95" i="25"/>
  <c r="F96" i="25"/>
  <c r="F99" i="25"/>
  <c r="F102" i="25"/>
  <c r="F148" i="25"/>
  <c r="F149" i="25"/>
  <c r="F150" i="25"/>
  <c r="F151" i="25"/>
  <c r="F152" i="25"/>
  <c r="F153" i="25"/>
  <c r="F154" i="25"/>
  <c r="F155" i="25"/>
  <c r="F156" i="25"/>
  <c r="F174" i="25"/>
  <c r="F176" i="25"/>
  <c r="F178" i="25"/>
  <c r="F180" i="25"/>
  <c r="F182" i="25"/>
  <c r="F184" i="25"/>
  <c r="F203" i="25"/>
  <c r="F205" i="25"/>
  <c r="F207" i="25"/>
  <c r="F209" i="25"/>
  <c r="F144" i="9"/>
  <c r="F54" i="25"/>
  <c r="F56" i="25"/>
  <c r="F59" i="25"/>
  <c r="F98" i="25"/>
  <c r="F100" i="25"/>
  <c r="F101" i="25"/>
  <c r="F53" i="25"/>
  <c r="F55" i="25"/>
  <c r="F57" i="25"/>
  <c r="F60" i="25"/>
  <c r="F62" i="25"/>
  <c r="F77" i="25"/>
  <c r="F78" i="25"/>
  <c r="F79" i="25"/>
  <c r="F80" i="25"/>
  <c r="G98" i="25"/>
  <c r="G99" i="25"/>
  <c r="G100" i="25"/>
  <c r="G101" i="25"/>
  <c r="G102" i="25"/>
  <c r="F122" i="25"/>
  <c r="F123" i="25"/>
  <c r="F124" i="25"/>
  <c r="F125" i="25"/>
  <c r="F126" i="25"/>
  <c r="F127" i="25"/>
  <c r="F128" i="25"/>
  <c r="F129" i="25"/>
  <c r="F168" i="25"/>
  <c r="F170" i="25"/>
  <c r="F172" i="25"/>
  <c r="F175" i="25"/>
  <c r="F177" i="25"/>
  <c r="F179" i="25"/>
  <c r="F181" i="25"/>
  <c r="F183" i="25"/>
  <c r="F188" i="25"/>
  <c r="F190" i="25"/>
  <c r="F192" i="25"/>
  <c r="F194" i="25"/>
  <c r="F196" i="25"/>
  <c r="F198" i="25"/>
  <c r="F200" i="25"/>
  <c r="F201" i="25"/>
  <c r="F204" i="25"/>
  <c r="F206" i="25"/>
  <c r="G217" i="25"/>
  <c r="G218" i="25"/>
  <c r="G219" i="25"/>
  <c r="G220" i="25"/>
  <c r="F16" i="9"/>
  <c r="F18" i="9"/>
  <c r="F20" i="9"/>
  <c r="F22" i="9"/>
  <c r="F24" i="9"/>
  <c r="F218" i="9"/>
  <c r="F219" i="9"/>
  <c r="F220" i="9"/>
  <c r="F221" i="9"/>
  <c r="F222" i="9"/>
  <c r="F305" i="9"/>
  <c r="F306" i="9"/>
  <c r="F307" i="9"/>
  <c r="F308" i="9"/>
  <c r="F309" i="9"/>
  <c r="G140" i="25" l="1"/>
  <c r="G215" i="25"/>
  <c r="F215" i="25"/>
  <c r="G182" i="9"/>
  <c r="G144" i="25"/>
  <c r="G195" i="9"/>
  <c r="G136" i="25"/>
  <c r="G153" i="25"/>
  <c r="F147" i="25"/>
  <c r="F304" i="9"/>
  <c r="G138" i="25"/>
  <c r="G155" i="25"/>
  <c r="G142" i="25"/>
  <c r="G146" i="25"/>
  <c r="G133" i="25"/>
  <c r="G149" i="25"/>
  <c r="F269" i="9"/>
  <c r="G134" i="25"/>
  <c r="G151" i="25"/>
  <c r="F182" i="9"/>
  <c r="F97" i="25"/>
  <c r="G132" i="25"/>
  <c r="G135" i="25"/>
  <c r="G137" i="25"/>
  <c r="G139" i="25"/>
  <c r="G141" i="25"/>
  <c r="G143" i="25"/>
  <c r="G145" i="25"/>
  <c r="G148" i="25"/>
  <c r="G150" i="25"/>
  <c r="G152" i="25"/>
  <c r="G154" i="25"/>
  <c r="G97" i="25"/>
  <c r="F121" i="25"/>
  <c r="F202" i="25"/>
  <c r="F173" i="25"/>
  <c r="F58" i="25"/>
  <c r="F76" i="25"/>
  <c r="F282" i="9"/>
  <c r="F195" i="9"/>
  <c r="G121" i="25"/>
  <c r="G282" i="9"/>
  <c r="G147" i="25" l="1"/>
</calcChain>
</file>

<file path=xl/sharedStrings.xml><?xml version="1.0" encoding="utf-8"?>
<sst xmlns="http://schemas.openxmlformats.org/spreadsheetml/2006/main" count="1818" uniqueCount="1325">
  <si>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</si>
  <si>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</si>
  <si>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</si>
  <si>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</si>
  <si>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</si>
  <si>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</si>
  <si>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</si>
  <si>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</si>
  <si>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</si>
  <si>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</si>
  <si>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</si>
  <si>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</si>
  <si>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</si>
  <si>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</si>
  <si>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</si>
  <si>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</si>
  <si>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</si>
  <si>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</si>
  <si>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</si>
  <si>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</si>
  <si>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</si>
  <si>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</si>
  <si>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</si>
  <si>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</si>
  <si>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</si>
  <si>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</si>
  <si>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</si>
  <si>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</si>
  <si>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</si>
  <si>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</si>
  <si>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</si>
  <si>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</si>
  <si>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</si>
  <si>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</si>
  <si>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</si>
  <si>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</si>
  <si>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</si>
  <si>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</si>
  <si>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</si>
  <si>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</si>
  <si>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</si>
  <si>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</si>
  <si>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</si>
  <si>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</si>
  <si>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</si>
  <si>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</si>
  <si>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</si>
  <si>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</si>
  <si>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</si>
  <si>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</si>
  <si>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</si>
  <si>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</si>
  <si>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</si>
  <si>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</si>
  <si>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</si>
  <si>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</si>
  <si>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</si>
  <si>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</si>
  <si>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</si>
  <si>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</si>
  <si>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</si>
  <si>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</si>
  <si>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</si>
  <si>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</si>
  <si>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</si>
  <si>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</si>
  <si>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</si>
  <si>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</si>
  <si>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</si>
  <si>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</si>
  <si>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</si>
  <si>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</si>
  <si>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</si>
  <si>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</si>
  <si>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</si>
  <si>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</si>
  <si>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</si>
  <si>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</si>
  <si>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</si>
  <si>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</si>
  <si>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</si>
  <si>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</si>
  <si>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</si>
  <si>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</si>
  <si>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</si>
  <si>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</si>
  <si>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</si>
  <si>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</si>
  <si>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</si>
  <si>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</si>
  <si>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</si>
  <si>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</si>
  <si>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</si>
  <si>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</si>
  <si>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</si>
  <si>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</si>
  <si>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</si>
  <si>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</si>
  <si>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</si>
  <si>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</si>
  <si>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</si>
  <si>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</si>
  <si>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</si>
  <si>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</si>
  <si>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</si>
  <si>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</si>
  <si>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</si>
  <si>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</si>
  <si>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</si>
  <si>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</si>
  <si>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</si>
  <si>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</si>
  <si>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</si>
  <si>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</si>
  <si>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</si>
  <si>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</si>
  <si>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</si>
  <si>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</si>
  <si>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</si>
  <si>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</si>
  <si>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</si>
  <si>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</si>
  <si>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</si>
  <si>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</si>
  <si>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</si>
  <si>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</si>
  <si>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</si>
  <si>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</si>
  <si>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</si>
  <si>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</si>
  <si>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</si>
  <si>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</si>
  <si>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</si>
  <si>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</si>
  <si>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</si>
  <si>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</si>
  <si>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</si>
  <si>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</si>
  <si>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</si>
  <si>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</si>
  <si>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</si>
  <si>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</si>
  <si>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</si>
  <si>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</si>
  <si>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</si>
  <si>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</si>
  <si>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</si>
  <si>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</si>
  <si>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</si>
  <si>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</si>
  <si>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</si>
  <si>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</si>
  <si>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</si>
  <si>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</si>
  <si>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</si>
  <si>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</si>
  <si>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</si>
  <si>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</si>
  <si>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</si>
  <si>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</si>
  <si>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</si>
  <si>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</si>
  <si>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</si>
  <si>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</si>
  <si>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</si>
  <si>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</si>
  <si>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</si>
  <si>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</si>
  <si>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</si>
  <si>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</si>
  <si>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</si>
  <si>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</si>
  <si>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</si>
  <si>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</si>
  <si>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</si>
  <si>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</si>
  <si>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</si>
  <si>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</si>
  <si>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</si>
  <si>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</si>
  <si>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</si>
  <si>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</si>
  <si>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</si>
  <si>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</si>
  <si>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</si>
  <si>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</si>
  <si>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</si>
  <si>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</si>
  <si>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</si>
  <si>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</si>
  <si>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</si>
  <si>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</si>
  <si>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</si>
  <si>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</si>
  <si>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</si>
  <si>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</si>
  <si>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</si>
  <si>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</si>
  <si>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</si>
  <si>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</si>
  <si>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</si>
  <si>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</si>
  <si>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</si>
  <si>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</si>
  <si>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</si>
  <si>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</si>
  <si>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</si>
  <si>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</si>
  <si>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</si>
  <si>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</si>
  <si>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</si>
  <si>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</si>
  <si>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</si>
  <si>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</si>
  <si>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</si>
  <si>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</si>
  <si>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</si>
  <si>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</si>
  <si>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</si>
  <si>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</si>
  <si>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</si>
  <si>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</si>
  <si>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</si>
  <si>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</si>
  <si>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</si>
  <si>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</si>
  <si>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</si>
  <si>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</si>
  <si>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</si>
  <si>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</si>
  <si>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</si>
  <si>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</si>
  <si>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</si>
  <si>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</si>
  <si>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</si>
  <si>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</si>
  <si>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</si>
  <si>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</si>
  <si>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</si>
  <si>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</si>
  <si>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</si>
  <si>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</si>
  <si>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</si>
  <si>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</si>
  <si>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</si>
  <si>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</si>
  <si>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</si>
  <si>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</si>
  <si>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</si>
  <si>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</si>
  <si>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</si>
  <si>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</si>
  <si>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</si>
  <si>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</si>
  <si>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</si>
  <si>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</si>
  <si>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</si>
  <si>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</si>
  <si>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</si>
  <si>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</si>
  <si>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</si>
  <si>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</si>
  <si>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</si>
  <si>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</si>
  <si>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</si>
  <si>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</si>
  <si>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</si>
  <si>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</si>
  <si>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</si>
  <si>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</si>
  <si>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</si>
  <si>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</si>
  <si>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</si>
  <si>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</si>
  <si>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</si>
  <si>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</si>
  <si>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</si>
  <si>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</si>
  <si>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</si>
  <si>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</si>
  <si>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</si>
  <si>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</si>
  <si>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</si>
  <si>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</si>
  <si>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</si>
  <si>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</si>
  <si>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</si>
  <si>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</si>
  <si>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</si>
  <si>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</si>
  <si>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</si>
  <si>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</si>
  <si>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</si>
  <si>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</si>
  <si>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</si>
  <si>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</si>
  <si>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</si>
  <si>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</si>
  <si>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</si>
  <si>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</si>
  <si>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</si>
  <si>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</si>
  <si>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</si>
  <si>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</si>
  <si>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</si>
  <si>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</si>
  <si>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</si>
  <si>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</si>
  <si>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</si>
  <si>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</si>
  <si>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</si>
  <si>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</si>
  <si>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</si>
  <si>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</si>
  <si>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</si>
  <si>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</si>
  <si>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</si>
  <si>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</si>
  <si>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</si>
  <si>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</si>
  <si>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</si>
  <si>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</si>
  <si>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</si>
  <si>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</si>
  <si>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</si>
  <si>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</si>
  <si>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</si>
  <si>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</si>
  <si>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</si>
  <si>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</si>
  <si>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</si>
  <si>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</si>
  <si>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</si>
  <si>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</si>
  <si>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</si>
  <si>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</si>
  <si>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</si>
  <si>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</si>
  <si>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</si>
  <si>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</si>
  <si>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</si>
  <si>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</si>
  <si>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</si>
  <si>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</si>
  <si>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</si>
  <si>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</si>
  <si>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</si>
  <si>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</si>
  <si>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</si>
  <si>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</si>
  <si>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</si>
  <si>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</si>
  <si>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</si>
  <si>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</si>
  <si>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</si>
  <si>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</si>
  <si>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</si>
  <si>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</si>
  <si>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</si>
  <si>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</si>
  <si>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</si>
  <si>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</si>
  <si>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</si>
  <si>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</si>
  <si>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</si>
  <si>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</si>
  <si>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</si>
  <si>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</si>
  <si>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</si>
  <si>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</si>
  <si>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</si>
  <si>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</si>
  <si>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</si>
  <si>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</si>
  <si>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</si>
  <si>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</si>
  <si>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</si>
  <si>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</si>
  <si>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</si>
  <si>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</si>
  <si>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</si>
  <si>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</si>
  <si>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</si>
  <si>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</si>
  <si>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</si>
  <si>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</si>
  <si>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</si>
  <si>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</si>
  <si>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</si>
  <si>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</si>
  <si>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</si>
  <si>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</si>
  <si>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</si>
  <si>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</si>
  <si>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</si>
  <si>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</si>
  <si>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</si>
  <si>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</si>
  <si>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</si>
  <si>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</si>
  <si>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</si>
  <si>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</si>
  <si>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</si>
  <si>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</si>
  <si>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</si>
  <si>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</si>
  <si>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</si>
  <si>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</si>
  <si>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</si>
  <si>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</si>
  <si>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</si>
  <si>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</si>
  <si>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</si>
  <si>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</si>
  <si>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</si>
  <si>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</si>
  <si>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</si>
  <si>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</si>
  <si>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</si>
  <si>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</si>
  <si>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</si>
  <si>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</si>
  <si>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</si>
  <si>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</si>
  <si>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</si>
  <si>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</si>
  <si>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</si>
  <si>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</si>
  <si>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</si>
  <si>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</si>
  <si>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</si>
  <si>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</si>
  <si>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</si>
  <si>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</si>
  <si>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</si>
  <si>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</si>
  <si>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</si>
  <si>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</si>
  <si>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</si>
  <si>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</si>
  <si>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</si>
  <si>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</si>
  <si>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</si>
  <si>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</si>
  <si>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</si>
  <si>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</si>
  <si>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</si>
  <si>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</si>
  <si>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</si>
  <si>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</si>
  <si>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</si>
  <si>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</si>
  <si>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</si>
  <si>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</si>
  <si>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</si>
  <si>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</si>
  <si>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</si>
  <si>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</si>
  <si>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</si>
  <si>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</si>
  <si>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</si>
  <si>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</si>
  <si>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</si>
  <si>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</si>
  <si>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</si>
  <si>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</si>
  <si>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</si>
  <si>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</si>
  <si>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</si>
  <si>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</si>
  <si>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</si>
  <si>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</si>
  <si>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</si>
  <si>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</si>
  <si>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</si>
  <si>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</si>
  <si>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</si>
  <si>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</si>
  <si>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</si>
  <si>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</si>
  <si>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</si>
  <si>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</si>
  <si>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</si>
  <si>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</si>
  <si>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</si>
  <si>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</si>
  <si>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G.3.5.1</t>
  </si>
  <si>
    <t>G.3.5.2</t>
  </si>
  <si>
    <t>G.3.5.3</t>
  </si>
  <si>
    <t>G.3.5.4</t>
  </si>
  <si>
    <t>G.3.5.5</t>
  </si>
  <si>
    <t>G.3.5.6</t>
  </si>
  <si>
    <t>G.3.5.7</t>
  </si>
  <si>
    <t>G.3.5.8</t>
  </si>
  <si>
    <t>G.3.5.9</t>
  </si>
  <si>
    <t>G.3.5.10</t>
  </si>
  <si>
    <t>OG.3.5.1</t>
  </si>
  <si>
    <t>OG.3.5.2</t>
  </si>
  <si>
    <t>OG.3.5.3</t>
  </si>
  <si>
    <t>OG.3.5.4</t>
  </si>
  <si>
    <t>OG.3.5.5</t>
  </si>
  <si>
    <t>OG.3.5.6</t>
  </si>
  <si>
    <t>OG.3.5.7</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</si>
  <si>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</si>
  <si>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</si>
  <si>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</si>
  <si>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</si>
  <si>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</si>
  <si>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</si>
  <si>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</si>
  <si>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</si>
  <si>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</si>
  <si>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</si>
  <si>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</si>
  <si>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</si>
  <si>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</si>
  <si>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</si>
  <si>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</si>
  <si>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</si>
  <si>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</si>
  <si>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</si>
  <si>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</si>
  <si>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</si>
  <si>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</si>
  <si>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</si>
  <si>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</si>
  <si>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</si>
  <si>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</si>
  <si>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</si>
  <si>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</si>
  <si>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</si>
  <si>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</si>
  <si>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</si>
  <si>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</si>
  <si>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</si>
  <si>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</si>
  <si>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</si>
  <si>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</si>
  <si>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</si>
  <si>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</si>
  <si>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</si>
  <si>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</si>
  <si>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</si>
  <si>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</si>
  <si>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</si>
  <si>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</si>
  <si>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</si>
  <si>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</si>
  <si>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</si>
  <si>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</si>
  <si>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</si>
  <si>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</si>
  <si>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</si>
  <si>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</si>
  <si>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</si>
  <si>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</si>
  <si>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</si>
  <si>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</si>
  <si>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</si>
  <si>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</si>
  <si>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</si>
  <si>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</si>
  <si>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</si>
  <si>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</si>
  <si>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</si>
  <si>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</si>
  <si>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</si>
  <si>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</si>
  <si>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</si>
  <si>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</si>
  <si>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</si>
  <si>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</si>
  <si>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</si>
  <si>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</si>
  <si>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</si>
  <si>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</si>
  <si>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</si>
  <si>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</si>
  <si>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</si>
  <si>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</si>
  <si>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</si>
  <si>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</si>
  <si>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</si>
  <si>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</si>
  <si>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</si>
  <si>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</si>
  <si>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</si>
  <si>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</si>
  <si>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</si>
  <si>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</si>
  <si>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</si>
  <si>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</si>
  <si>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</si>
  <si>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</si>
  <si>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</si>
  <si>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</si>
  <si>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</si>
  <si>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</si>
  <si>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</si>
  <si>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</si>
  <si>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</si>
  <si>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</si>
  <si>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</si>
  <si>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</si>
  <si>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</si>
  <si>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</si>
  <si>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</si>
  <si>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</si>
  <si>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</si>
  <si>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</si>
  <si>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</si>
  <si>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</si>
  <si>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</si>
  <si>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</si>
  <si>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</si>
  <si>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</si>
  <si>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</si>
  <si>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</si>
  <si>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</si>
  <si>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</si>
  <si>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</si>
  <si>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</si>
  <si>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</si>
  <si>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</si>
  <si>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</si>
  <si>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</si>
  <si>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</si>
  <si>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</si>
  <si>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</si>
  <si>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</si>
  <si>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</si>
  <si>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</si>
  <si>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</si>
  <si>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</si>
  <si>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</si>
  <si>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</si>
  <si>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</si>
  <si>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</si>
  <si>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</si>
  <si>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</si>
  <si>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</si>
  <si>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</si>
  <si>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</si>
  <si>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</si>
  <si>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</si>
  <si>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</si>
  <si>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</si>
  <si>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</si>
  <si>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</si>
  <si>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</si>
  <si>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</si>
  <si>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</si>
  <si>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</si>
  <si>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</si>
  <si>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</si>
  <si>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</si>
  <si>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</si>
  <si>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</si>
  <si>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</si>
  <si>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</si>
  <si>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</si>
  <si>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</si>
  <si>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</si>
  <si>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</si>
  <si>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</si>
  <si>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</si>
  <si>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</si>
  <si>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</si>
  <si>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</si>
  <si>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</si>
  <si>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</si>
  <si>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</si>
  <si>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</si>
  <si>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</si>
  <si>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</si>
  <si>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</si>
  <si>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</si>
  <si>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</si>
  <si>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</si>
  <si>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</si>
  <si>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</si>
  <si>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</si>
  <si>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</si>
  <si>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</si>
  <si>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</si>
  <si>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</si>
  <si>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</si>
  <si>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</si>
  <si>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</si>
  <si>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</si>
  <si>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</si>
  <si>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</si>
  <si>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</si>
  <si>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</si>
  <si>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</si>
  <si>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</si>
  <si>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</si>
  <si>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</si>
  <si>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</si>
  <si>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</si>
  <si>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</si>
  <si>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</si>
  <si>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</si>
  <si>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</si>
  <si>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</si>
  <si>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</si>
  <si>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</si>
  <si>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</si>
  <si>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</si>
  <si>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</si>
  <si>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</si>
  <si>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</si>
  <si>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</si>
  <si>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</si>
  <si>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</si>
  <si>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</si>
  <si>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</si>
  <si>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</si>
  <si>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</si>
  <si>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</si>
  <si>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</si>
  <si>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</si>
  <si>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</si>
  <si>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</si>
  <si>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</si>
  <si>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</si>
  <si>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</si>
  <si>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</si>
  <si>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</si>
  <si>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</si>
  <si>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</si>
  <si>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</si>
  <si>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</si>
  <si>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</si>
  <si>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</si>
  <si>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</si>
  <si>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</si>
  <si>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</si>
  <si>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</si>
  <si>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</si>
  <si>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</si>
  <si>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</si>
  <si>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</si>
  <si>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</si>
  <si>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</si>
  <si>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</si>
  <si>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</si>
  <si>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</si>
  <si>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</si>
  <si>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</si>
  <si>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</si>
  <si>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</si>
  <si>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</si>
  <si>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</si>
  <si>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</si>
  <si>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</si>
  <si>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</si>
  <si>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</si>
  <si>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</si>
  <si>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</si>
  <si>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</si>
  <si>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</si>
  <si>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</si>
  <si>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</si>
  <si>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</si>
  <si>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</si>
  <si>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</si>
  <si>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</si>
  <si>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</si>
  <si>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</si>
  <si>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</si>
  <si>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</si>
  <si>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</si>
  <si>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</si>
  <si>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</si>
  <si>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</si>
  <si>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</si>
  <si>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</si>
  <si>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</si>
  <si>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</si>
  <si>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</si>
  <si>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</si>
  <si>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</si>
  <si>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</si>
  <si>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</si>
  <si>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</si>
  <si>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</si>
  <si>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</si>
  <si>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</si>
  <si>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</si>
  <si>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</si>
  <si>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</si>
  <si>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</si>
  <si>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</si>
  <si>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</si>
  <si>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</si>
  <si>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</si>
  <si>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</si>
  <si>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</si>
  <si>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</si>
  <si>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</si>
  <si>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</si>
  <si>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</si>
  <si>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</si>
  <si>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</si>
  <si>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</si>
  <si>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</si>
  <si>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</si>
  <si>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</si>
  <si>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</si>
  <si>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</si>
  <si>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</si>
  <si>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</si>
  <si>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</si>
  <si>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</si>
  <si>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</si>
  <si>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</si>
  <si>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</si>
  <si>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</si>
  <si>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</si>
  <si>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</si>
  <si>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</si>
  <si>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</si>
  <si>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</si>
  <si>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</si>
  <si>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</si>
  <si>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</si>
  <si>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</si>
  <si>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</si>
  <si>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</si>
  <si>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</si>
  <si>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</si>
  <si>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</si>
  <si>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</si>
  <si>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</si>
  <si>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</si>
  <si>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</si>
  <si>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</si>
  <si>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</si>
  <si>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</si>
  <si>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</si>
  <si>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</si>
  <si>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</si>
  <si>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</si>
  <si>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</si>
  <si>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</si>
  <si>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</si>
  <si>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</si>
  <si>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</si>
  <si>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</si>
  <si>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</si>
  <si>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</si>
  <si>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</si>
  <si>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</si>
  <si>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</si>
  <si>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</si>
  <si>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</si>
  <si>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</si>
  <si>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</si>
  <si>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</si>
  <si>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</si>
  <si>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</si>
  <si>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</si>
  <si>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</si>
  <si>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</si>
  <si>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</si>
  <si>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</si>
  <si>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</si>
  <si>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</si>
  <si>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</si>
  <si>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</si>
  <si>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</si>
  <si>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</si>
  <si>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</si>
  <si>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</si>
  <si>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</si>
  <si>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</si>
  <si>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</si>
  <si>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</si>
  <si>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</si>
  <si>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</si>
  <si>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</si>
  <si>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</si>
  <si>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</si>
  <si>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</si>
  <si>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</si>
  <si>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</si>
  <si>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</si>
  <si>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</si>
  <si>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</si>
  <si>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</si>
  <si>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</si>
  <si>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</si>
  <si>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</si>
  <si>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</si>
  <si>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</si>
  <si>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</si>
  <si>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</si>
  <si>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</si>
  <si>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</si>
  <si>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</si>
  <si>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</si>
  <si>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</si>
  <si>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</si>
  <si>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</si>
  <si>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</si>
  <si>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</si>
  <si>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</si>
  <si>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</si>
  <si>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</si>
  <si>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</si>
  <si>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</si>
  <si>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</si>
  <si>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</si>
  <si>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</si>
  <si>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</si>
  <si>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</si>
  <si>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</si>
  <si>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</si>
  <si>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</si>
  <si>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</si>
  <si>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</si>
  <si>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</si>
  <si>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</si>
  <si>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</si>
  <si>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</si>
  <si>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</si>
  <si>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</si>
  <si>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</si>
  <si>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</si>
  <si>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</si>
  <si>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</si>
  <si>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</si>
  <si>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</si>
  <si>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</si>
  <si>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</si>
  <si>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</si>
  <si>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</si>
  <si>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</si>
  <si>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</si>
  <si>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</si>
  <si>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</si>
  <si>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</si>
  <si>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</si>
  <si>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</si>
  <si>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</si>
  <si>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</si>
  <si>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</si>
  <si>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</si>
  <si>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</si>
  <si>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</si>
  <si>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</si>
  <si>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</si>
  <si>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</si>
  <si>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</si>
  <si>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</si>
  <si>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</si>
  <si>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</si>
  <si>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</si>
  <si>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</si>
  <si>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</si>
  <si>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</si>
  <si>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</si>
  <si>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</si>
  <si>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</si>
  <si>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</si>
  <si>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</si>
  <si>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</si>
  <si>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</si>
  <si>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</si>
  <si>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</si>
  <si>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</si>
  <si>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</si>
  <si>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</si>
  <si>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</si>
  <si>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</si>
  <si>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</si>
  <si>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</si>
  <si>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</si>
  <si>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</si>
  <si>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</si>
  <si>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</si>
  <si>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</si>
  <si>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</si>
  <si>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</si>
  <si>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</si>
  <si>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</si>
  <si>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</si>
  <si>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</si>
  <si>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</si>
  <si>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</si>
  <si>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</si>
  <si>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</si>
  <si>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</si>
  <si>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</si>
  <si>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</si>
  <si>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</si>
  <si>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</si>
  <si>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</si>
  <si>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</si>
  <si>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</si>
  <si>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</si>
  <si>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</si>
  <si>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</si>
  <si>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</si>
  <si>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</si>
  <si>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</si>
  <si>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</si>
  <si>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</si>
  <si>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</si>
  <si>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</si>
  <si>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</si>
  <si>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</si>
  <si>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</si>
  <si>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</si>
  <si>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</si>
  <si>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</si>
  <si>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 Total Extended Maturity</t>
  </si>
  <si>
    <t>Contractual (mn)</t>
  </si>
  <si>
    <t>Expected Upon Prepayments (mn)</t>
  </si>
  <si>
    <t>% Total Contractual</t>
  </si>
  <si>
    <t>% Total Expected Upon Prepayments</t>
  </si>
  <si>
    <t xml:space="preserve">% Total Initial Maturity </t>
  </si>
  <si>
    <t>Buy-to-let/Non-owner occupied</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</si>
  <si>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</si>
  <si>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</si>
  <si>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</si>
  <si>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</si>
  <si>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</si>
  <si>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</si>
  <si>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</si>
  <si>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</si>
  <si>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</si>
  <si>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</si>
  <si>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</si>
  <si>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</si>
  <si>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</si>
  <si>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</si>
  <si>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</si>
  <si>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</si>
  <si>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</si>
  <si>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</si>
  <si>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</si>
  <si>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</si>
  <si>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</si>
  <si>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</si>
  <si>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</si>
  <si>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</si>
  <si>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</si>
  <si>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</si>
  <si>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</si>
  <si>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</si>
  <si>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</si>
  <si>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</si>
  <si>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</si>
  <si>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</si>
  <si>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</si>
  <si>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</si>
  <si>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</si>
  <si>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</si>
  <si>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</si>
  <si>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</si>
  <si>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</si>
  <si>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</si>
  <si>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</si>
  <si>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</si>
  <si>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</si>
  <si>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</si>
  <si>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</si>
  <si>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</si>
  <si>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</si>
  <si>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</si>
  <si>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</si>
  <si>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</si>
  <si>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</si>
  <si>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</si>
  <si>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</si>
  <si>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</si>
  <si>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</si>
  <si>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</si>
  <si>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</si>
  <si>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</si>
  <si>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</si>
  <si>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</si>
  <si>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</si>
  <si>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</si>
  <si>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</si>
  <si>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</si>
  <si>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</si>
  <si>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</si>
  <si>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</si>
  <si>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</si>
  <si>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</si>
  <si>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</si>
  <si>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</si>
  <si>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</si>
  <si>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</si>
  <si>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</si>
  <si>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</si>
  <si>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</si>
  <si>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</si>
  <si>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</si>
  <si>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</si>
  <si>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</si>
  <si>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</si>
  <si>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</si>
  <si>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M.7.5.17</t>
  </si>
  <si>
    <t>M.7.5.18</t>
  </si>
  <si>
    <t>M.7.5.19</t>
  </si>
  <si>
    <t>M.7.5.20</t>
  </si>
  <si>
    <t>M.7.5.21</t>
  </si>
  <si>
    <t>M.7.5.22</t>
  </si>
  <si>
    <t>M.7.5.23</t>
  </si>
  <si>
    <t>M.7.5.24</t>
  </si>
  <si>
    <t>M.7.5.25</t>
  </si>
  <si>
    <t>M.7.5.26</t>
  </si>
  <si>
    <t>M.7.5.27</t>
  </si>
  <si>
    <t>M.7.5.28</t>
  </si>
  <si>
    <t>M.7.5.29</t>
  </si>
  <si>
    <t>M.7.5.30</t>
  </si>
  <si>
    <t>M.7.5.31</t>
  </si>
  <si>
    <t>30/06/17</t>
  </si>
  <si>
    <t>Cut-off Date: 30/06/17</t>
  </si>
  <si>
    <t>o/w Warehouse/Logistic Centre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</si>
  <si>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</si>
  <si>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</si>
  <si>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</si>
  <si>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</si>
  <si>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</si>
  <si>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</si>
  <si>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</si>
  <si>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</si>
  <si>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</si>
  <si>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</si>
  <si>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</si>
  <si>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</si>
  <si>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</si>
  <si>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</si>
  <si>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</si>
  <si>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</si>
  <si>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</si>
  <si>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</si>
  <si>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</si>
  <si>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</si>
  <si>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</si>
  <si>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</si>
  <si>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</si>
  <si>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</si>
  <si>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</si>
  <si>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</si>
  <si>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</si>
  <si>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</si>
  <si>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</si>
  <si>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</si>
  <si>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</si>
  <si>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</si>
  <si>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</si>
  <si>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</si>
  <si>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</si>
  <si>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</si>
  <si>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</si>
  <si>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</si>
  <si>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</si>
  <si>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</si>
  <si>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</si>
  <si>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</si>
  <si>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</si>
  <si>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</si>
  <si>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</si>
  <si>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</si>
  <si>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</si>
  <si>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</si>
  <si>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</si>
  <si>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</si>
  <si>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</si>
  <si>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</si>
  <si>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</si>
  <si>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</si>
  <si>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</si>
  <si>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</si>
  <si>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</si>
  <si>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</si>
  <si>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</si>
  <si>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</si>
  <si>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</si>
  <si>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</si>
  <si>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</si>
  <si>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</si>
  <si>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</si>
  <si>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</si>
  <si>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</si>
  <si>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</si>
  <si>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</si>
  <si>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</si>
  <si>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</si>
  <si>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</si>
  <si>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</si>
  <si>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</si>
  <si>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</si>
  <si>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</si>
  <si>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</si>
  <si>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</si>
  <si>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</si>
  <si>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</si>
  <si>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</si>
  <si>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</si>
  <si>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</si>
  <si>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</si>
  <si>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</si>
  <si>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</si>
  <si>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</si>
  <si>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</si>
  <si>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</si>
  <si>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</si>
  <si>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</si>
  <si>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</si>
  <si>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</si>
  <si>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</si>
  <si>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</si>
  <si>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</si>
  <si>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</si>
  <si>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</si>
  <si>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</si>
  <si>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</si>
  <si>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</si>
  <si>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</si>
  <si>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</si>
  <si>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</si>
  <si>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</si>
  <si>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</si>
  <si>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</si>
  <si>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</si>
  <si>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</si>
  <si>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</si>
  <si>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</si>
  <si>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</si>
  <si>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</si>
  <si>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</si>
  <si>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</si>
  <si>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</si>
  <si>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</si>
  <si>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</si>
  <si>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</si>
  <si>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</si>
  <si>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</si>
  <si>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</si>
  <si>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</si>
  <si>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</si>
  <si>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</si>
  <si>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</si>
  <si>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</si>
  <si>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</si>
  <si>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</si>
  <si>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</si>
  <si>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</si>
  <si>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</si>
  <si>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</si>
  <si>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</si>
  <si>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</si>
  <si>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</si>
  <si>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Optional ECB-ECAIs data</t>
  </si>
  <si>
    <t>Y</t>
  </si>
  <si>
    <t>Legal / Regulatory</t>
  </si>
  <si>
    <t>Maturity (mn)</t>
  </si>
  <si>
    <t xml:space="preserve">Initial Maturity </t>
  </si>
  <si>
    <t>Extended Maturity</t>
  </si>
  <si>
    <t>Reporting Date: 12/07/17</t>
  </si>
  <si>
    <t>mBank S.A.</t>
  </si>
  <si>
    <t>Immediate Parent</t>
  </si>
  <si>
    <t>Ultimate Parent</t>
  </si>
  <si>
    <t>Commerzbank AG</t>
  </si>
  <si>
    <t>BBB outlook: stable</t>
  </si>
  <si>
    <t>Fitch Issuer Default Rating (IDR)</t>
  </si>
  <si>
    <t>A outlook: positive</t>
  </si>
  <si>
    <t>Fitch Mortgage Covered Bonds Rating</t>
  </si>
  <si>
    <t>Contact names</t>
  </si>
  <si>
    <t>CQS (credit quality steps)</t>
  </si>
  <si>
    <t>ECB repo eligibility</t>
  </si>
  <si>
    <t>National Bank of Poland repo eligibility</t>
  </si>
  <si>
    <t>NO</t>
  </si>
  <si>
    <t>YES - only PLN demoninated</t>
  </si>
  <si>
    <t>Frequently Asked Questions (FAQ)</t>
  </si>
  <si>
    <t>Please delete this tab once you have completed this file</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</si>
  <si>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</si>
  <si>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</si>
  <si>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</si>
  <si>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</si>
  <si>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</si>
  <si>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</si>
  <si>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</si>
  <si>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</si>
  <si>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</si>
  <si>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</si>
  <si>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</si>
  <si>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</si>
  <si>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</si>
  <si>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</si>
  <si>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</si>
  <si>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</si>
  <si>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</si>
  <si>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</si>
  <si>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</si>
  <si>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</si>
  <si>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</si>
  <si>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</si>
  <si>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</si>
  <si>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</si>
  <si>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</si>
  <si>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</si>
  <si>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</si>
  <si>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</si>
  <si>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</si>
  <si>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</si>
  <si>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</si>
  <si>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</si>
  <si>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</si>
  <si>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</si>
  <si>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</si>
  <si>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</si>
  <si>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o/w substitute assets</t>
  </si>
  <si>
    <t>o/w liquidity buffer</t>
  </si>
  <si>
    <t>http://mhipoteczny.pl/relacje-inwestorskie/#tab-002</t>
  </si>
  <si>
    <t>Grzegorz Zdenkowski 
tel.: +48 22 579 74 38 
mail: grzegorz.zdenkowski@mhipoteczny.pl
Wojciech Zdunkiewicz
tel.: +48 515 163 187
mail: wojciech.zdunkiewicz@mhipoteczny.pl</t>
  </si>
  <si>
    <t>Liquidity buffer (mn)</t>
  </si>
  <si>
    <t>registered in the Cover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</si>
</sst>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_ * #,##0.00_ ;_ * \-#,##0.00_ ;_ * &quot;-&quot;??_ ;_ @_ "/>
    <numFmt numFmtId="165" formatCode="#,##0.00,,"/>
    <numFmt numFmtId="166" formatCode="#,##0,,"/>
    <numFmt numFmtId="167" formatCode="0.00000"/>
    <numFmt numFmtId="168" formatCode="#,##0.000000,,"/>
    <numFmt numFmtId="169" formatCode="#,##0,"/>
    <numFmt numFmtId="170" formatCode="0.0000000000"/>
    <numFmt numFmtId="171" formatCode="#,##0.000"/>
  </numFmts>
  <fonts count="50"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sz val="11"/>
      <name val="Calibri"/>
      <family val="2"/>
      <charset val="238"/>
      <scheme val="minor"/>
    </font>
    <font>
      <b/>
      <sz val="11"/>
      <color rgb="FFFF0000"/>
      <name val="Calibri"/>
      <family val="2"/>
      <scheme val="minor"/>
    </font>
    <font>
      <i/>
      <sz val="11"/>
      <color rgb="FF0070C0"/>
      <name val="Calibri"/>
      <family val="2"/>
      <scheme val="minor"/>
    </font>
    <font>
      <sz val="24"/>
      <color theme="1"/>
      <name val="Calibri"/>
      <family val="2"/>
      <scheme val="minor"/>
    </font>
    <font>
      <sz val="9"/>
      <color theme="1"/>
      <name val="Verdana"/>
      <family val="2"/>
    </font>
    <font>
      <b/>
      <sz val="9"/>
      <color theme="1"/>
      <name val="Verdana"/>
      <family val="2"/>
    </font>
    <font>
      <b/>
      <i/>
      <sz val="11"/>
      <color theme="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8">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xf numFmtId="43" fontId="2" fillId="0" borderId="0" applyFont="0" applyFill="0" applyBorder="0" applyAlignment="0" applyProtection="0"/>
  </cellStyleXfs>
  <cellXfs count="177">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167" fontId="9"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68" fontId="9" fillId="0" borderId="0" xfId="0" applyNumberFormat="1" applyFont="1" applyFill="1" applyBorder="1" applyAlignment="1">
      <alignment horizontal="center" vertical="center" wrapText="1"/>
    </xf>
    <xf numFmtId="0" fontId="0" fillId="0" borderId="0" xfId="0" applyFill="1" applyBorder="1" applyAlignment="1">
      <alignment horizontal="left" vertical="center"/>
    </xf>
    <xf numFmtId="169" fontId="9"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170" fontId="4" fillId="0" borderId="0" xfId="0" applyNumberFormat="1" applyFont="1" applyFill="1" applyBorder="1" applyAlignment="1">
      <alignment horizontal="center" vertical="center" wrapText="1"/>
    </xf>
    <xf numFmtId="171" fontId="4" fillId="0" borderId="0" xfId="0" applyNumberFormat="1" applyFont="1" applyFill="1" applyBorder="1" applyAlignment="1">
      <alignment horizontal="center" vertical="center" wrapText="1"/>
    </xf>
    <xf numFmtId="43" fontId="9" fillId="0" borderId="0" xfId="117" quotePrefix="1" applyFont="1" applyFill="1" applyBorder="1" applyAlignment="1">
      <alignment horizontal="center" vertical="center" wrapText="1"/>
    </xf>
    <xf numFmtId="43" fontId="4" fillId="0" borderId="0" xfId="117" applyFont="1" applyFill="1" applyBorder="1" applyAlignment="1">
      <alignment horizontal="center" vertical="center" wrapText="1"/>
    </xf>
    <xf numFmtId="43"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0" fontId="4"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22" fillId="0" borderId="0" xfId="0" applyFont="1" applyFill="1" applyBorder="1" applyAlignment="1">
      <alignment horizontal="right" vertical="center"/>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5" fillId="0" borderId="0" xfId="0" applyNumberFormat="1" applyFont="1" applyFill="1" applyBorder="1" applyAlignment="1">
      <alignment horizontal="center" vertical="center" wrapText="1"/>
    </xf>
    <xf numFmtId="0" fontId="25" fillId="0" borderId="0" xfId="116" applyFont="1" applyAlignment="1"/>
    <xf numFmtId="0" fontId="0" fillId="0" borderId="0" xfId="0" applyFont="1" applyAlignment="1"/>
    <xf numFmtId="10" fontId="43" fillId="0" borderId="0" xfId="1" applyNumberFormat="1" applyFont="1" applyFill="1" applyBorder="1" applyAlignment="1">
      <alignment horizontal="center" vertical="center" wrapText="1"/>
    </xf>
    <xf numFmtId="0" fontId="11" fillId="6" borderId="0" xfId="0" quotePrefix="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4" fillId="0" borderId="0" xfId="0" applyFont="1" applyFill="1" applyBorder="1" applyAlignment="1">
      <alignment horizontal="left" vertical="center" wrapText="1"/>
    </xf>
    <xf numFmtId="0" fontId="14" fillId="0" borderId="0" xfId="0" applyFont="1" applyAlignment="1">
      <alignment horizontal="left"/>
    </xf>
    <xf numFmtId="0" fontId="46" fillId="0" borderId="0" xfId="0" applyFont="1" applyAlignment="1">
      <alignment horizontal="left"/>
    </xf>
    <xf numFmtId="0" fontId="47" fillId="0" borderId="0" xfId="0" applyFont="1"/>
    <xf numFmtId="0" fontId="17" fillId="0" borderId="0" xfId="0" applyFont="1" applyBorder="1" applyAlignment="1">
      <alignment horizontal="left" vertical="center"/>
    </xf>
    <xf numFmtId="0" fontId="46" fillId="0" borderId="0" xfId="0" applyFont="1" applyAlignment="1">
      <alignment horizontal="left"/>
    </xf>
    <xf numFmtId="0" fontId="0" fillId="7" borderId="0" xfId="0" applyFont="1" applyFill="1"/>
    <xf numFmtId="0" fontId="47" fillId="0" borderId="0" xfId="0" applyFont="1" applyAlignment="1">
      <alignment horizontal="center" vertical="center"/>
    </xf>
    <xf numFmtId="0" fontId="47" fillId="0" borderId="0" xfId="0" applyFont="1" applyFill="1" applyAlignment="1">
      <alignment vertical="center" wrapText="1"/>
    </xf>
    <xf numFmtId="0" fontId="48" fillId="0" borderId="1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48" fillId="0" borderId="0" xfId="0" applyFont="1"/>
    <xf numFmtId="0" fontId="7" fillId="0" borderId="0" xfId="0" applyFont="1"/>
    <xf numFmtId="0" fontId="21" fillId="5" borderId="15" xfId="0" quotePrefix="1" applyFont="1" applyFill="1" applyBorder="1" applyAlignment="1">
      <alignment horizontal="left" vertical="center"/>
    </xf>
    <xf numFmtId="0" fontId="21" fillId="5" borderId="17" xfId="0" quotePrefix="1" applyFont="1" applyFill="1" applyBorder="1" applyAlignment="1">
      <alignment horizontal="center" vertical="center" wrapText="1"/>
    </xf>
    <xf numFmtId="0" fontId="21" fillId="5" borderId="16" xfId="0" quotePrefix="1" applyFont="1" applyFill="1" applyBorder="1" applyAlignment="1">
      <alignment horizontal="center" vertical="center" wrapText="1"/>
    </xf>
    <xf numFmtId="0" fontId="47" fillId="0" borderId="0" xfId="0" applyFont="1" applyAlignment="1"/>
    <xf numFmtId="0" fontId="19" fillId="6" borderId="15" xfId="0" quotePrefix="1" applyFont="1" applyFill="1" applyBorder="1" applyAlignment="1">
      <alignment horizontal="left" vertical="center"/>
    </xf>
    <xf numFmtId="0" fontId="19" fillId="6" borderId="18" xfId="0" quotePrefix="1" applyFont="1" applyFill="1" applyBorder="1" applyAlignment="1">
      <alignment horizontal="left" vertical="center"/>
    </xf>
    <xf numFmtId="0" fontId="47" fillId="0" borderId="18" xfId="0" applyFont="1" applyBorder="1" applyAlignment="1">
      <alignment horizontal="center" vertical="center" wrapText="1"/>
    </xf>
    <xf numFmtId="0" fontId="6" fillId="3" borderId="15" xfId="0" applyFont="1" applyFill="1" applyBorder="1" applyAlignment="1">
      <alignment horizontal="center" vertical="center" wrapText="1"/>
    </xf>
    <xf numFmtId="0" fontId="0" fillId="0" borderId="18" xfId="0" applyFont="1" applyFill="1" applyBorder="1" applyAlignment="1">
      <alignment vertical="center" wrapText="1"/>
    </xf>
    <xf numFmtId="0" fontId="47" fillId="0" borderId="18" xfId="0" applyFont="1" applyBorder="1" applyAlignment="1">
      <alignment horizontal="center" vertical="center"/>
    </xf>
    <xf numFmtId="0" fontId="9" fillId="0" borderId="18" xfId="0" applyFont="1" applyFill="1" applyBorder="1" applyAlignment="1">
      <alignment vertical="center" wrapText="1"/>
    </xf>
    <xf numFmtId="0" fontId="47" fillId="0" borderId="0" xfId="0" applyFont="1" applyFill="1"/>
    <xf numFmtId="0" fontId="49" fillId="5" borderId="16" xfId="0" quotePrefix="1" applyFont="1" applyFill="1" applyBorder="1" applyAlignment="1">
      <alignment horizontal="center" vertical="center" wrapText="1"/>
    </xf>
    <xf numFmtId="0" fontId="47" fillId="0" borderId="0" xfId="0" applyFont="1" applyAlignment="1">
      <alignment horizontal="center" vertical="center" wrapText="1"/>
    </xf>
    <xf numFmtId="10" fontId="9" fillId="0" borderId="0" xfId="1" applyNumberFormat="1" applyFont="1" applyFill="1" applyBorder="1" applyAlignment="1">
      <alignment horizontal="center" vertical="center" wrapText="1"/>
    </xf>
    <xf numFmtId="0" fontId="24" fillId="0" borderId="0" xfId="116" applyFill="1" applyBorder="1" applyAlignment="1">
      <alignment horizontal="left" vertical="center" wrapText="1"/>
    </xf>
    <xf numFmtId="0" fontId="41" fillId="0" borderId="0" xfId="0" quotePrefix="1" applyFont="1" applyFill="1" applyBorder="1" applyAlignment="1">
      <alignment horizontal="center" vertical="center" wrapText="1"/>
    </xf>
  </cellXfs>
  <cellStyles count="118">
    <cellStyle name="Comma 2" xfId="113"/>
    <cellStyle name="Dziesiętny" xfId="117" builtinId="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mhipoteczny.pl/relacje-inwestorski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topLeftCell="A7" zoomScaleNormal="100" workbookViewId="0">
      <selection activeCell="O17" sqref="O17"/>
    </sheetView>
  </sheetViews>
  <sheetFormatPr defaultRowHeight="15" x14ac:dyDescent="0.25"/>
  <cols>
    <col min="1" max="1" width="8.85546875" style="13" collapsed="1"/>
    <col min="2" max="10" width="12.42578125" style="13" customWidth="1" collapsed="1"/>
    <col min="11" max="18" width="8.85546875" style="13" collapsed="1"/>
  </cols>
  <sheetData>
    <row r="1" spans="1:18" ht="15.75" thickBot="1" x14ac:dyDescent="0.3"/>
    <row r="2" spans="1:18" x14ac:dyDescent="0.25">
      <c r="B2" s="20"/>
      <c r="C2" s="21"/>
      <c r="D2" s="21"/>
      <c r="E2" s="21"/>
      <c r="F2" s="21"/>
      <c r="G2" s="21"/>
      <c r="H2" s="21"/>
      <c r="I2" s="21"/>
      <c r="J2" s="22"/>
    </row>
    <row r="3" spans="1:18" x14ac:dyDescent="0.25">
      <c r="B3" s="23"/>
      <c r="C3" s="24"/>
      <c r="D3" s="24"/>
      <c r="E3" s="24"/>
      <c r="F3" s="24"/>
      <c r="G3" s="24"/>
      <c r="H3" s="24"/>
      <c r="I3" s="24"/>
      <c r="J3" s="25"/>
    </row>
    <row r="4" spans="1:18" x14ac:dyDescent="0.25">
      <c r="B4" s="23"/>
      <c r="C4" s="24"/>
      <c r="D4" s="24"/>
      <c r="E4" s="24"/>
      <c r="F4" s="24"/>
      <c r="G4" s="24"/>
      <c r="H4" s="24"/>
      <c r="I4" s="24"/>
      <c r="J4" s="25"/>
    </row>
    <row r="5" spans="1:18" ht="31.5" x14ac:dyDescent="0.3">
      <c r="B5" s="23"/>
      <c r="C5" s="24"/>
      <c r="D5" s="24"/>
      <c r="E5" s="26"/>
      <c r="F5" s="27" t="s">
        <v>47</v>
      </c>
      <c r="G5" s="24"/>
      <c r="H5" s="24"/>
      <c r="I5" s="24"/>
      <c r="J5" s="25"/>
    </row>
    <row r="6" spans="1:18" x14ac:dyDescent="0.25">
      <c r="B6" s="23"/>
      <c r="C6" s="24"/>
      <c r="D6" s="24"/>
      <c r="E6" s="24"/>
      <c r="F6" s="28"/>
      <c r="G6" s="24"/>
      <c r="H6" s="24"/>
      <c r="I6" s="24"/>
      <c r="J6" s="25"/>
    </row>
    <row r="7" spans="1:18" ht="26.25" x14ac:dyDescent="0.25">
      <c r="B7" s="23"/>
      <c r="C7" s="24"/>
      <c r="D7" s="24"/>
      <c r="E7" s="24"/>
      <c r="F7" s="29" t="s">
        <v>103</v>
      </c>
      <c r="G7" s="24"/>
      <c r="H7" s="24"/>
      <c r="I7" s="24"/>
      <c r="J7" s="25"/>
    </row>
    <row r="8" spans="1:18" ht="26.25" x14ac:dyDescent="0.25">
      <c r="B8" s="23"/>
      <c r="C8" s="24"/>
      <c r="D8" s="24"/>
      <c r="E8" s="24"/>
      <c r="F8" s="29" t="s">
        <v>1024</v>
      </c>
      <c r="G8" s="24"/>
      <c r="H8" s="24"/>
      <c r="I8" s="24"/>
      <c r="J8" s="25"/>
    </row>
    <row r="9" spans="1:18" s="50" customFormat="1" ht="21" x14ac:dyDescent="0.25">
      <c r="A9" s="13"/>
      <c r="B9" s="23"/>
      <c r="C9" s="24"/>
      <c r="D9" s="24"/>
      <c r="E9" s="24"/>
      <c r="F9" s="82" t="s">
        <v>1266</v>
      </c>
      <c r="G9" s="24"/>
      <c r="H9" s="24"/>
      <c r="I9" s="24"/>
      <c r="J9" s="25"/>
      <c r="K9" s="13"/>
      <c r="L9" s="13"/>
      <c r="M9" s="13"/>
      <c r="N9" s="13"/>
      <c r="O9" s="13"/>
      <c r="P9" s="13"/>
      <c r="Q9" s="13"/>
      <c r="R9" s="13"/>
    </row>
    <row r="10" spans="1:18" ht="21" x14ac:dyDescent="0.25">
      <c r="B10" s="23"/>
      <c r="C10" s="24"/>
      <c r="D10" s="24"/>
      <c r="E10" s="24"/>
      <c r="F10" s="82" t="s">
        <v>1122</v>
      </c>
      <c r="G10" s="24"/>
      <c r="H10" s="24"/>
      <c r="I10" s="24"/>
      <c r="J10" s="25"/>
    </row>
    <row r="11" spans="1:18" s="50" customFormat="1" ht="21" x14ac:dyDescent="0.25">
      <c r="A11" s="13"/>
      <c r="B11" s="23"/>
      <c r="C11" s="24"/>
      <c r="D11" s="24"/>
      <c r="E11" s="24"/>
      <c r="F11" s="82"/>
      <c r="G11" s="24"/>
      <c r="H11" s="24"/>
      <c r="I11" s="24"/>
      <c r="J11" s="25"/>
      <c r="K11" s="13"/>
      <c r="L11" s="13"/>
      <c r="M11" s="13"/>
      <c r="N11" s="13"/>
      <c r="O11" s="13"/>
      <c r="P11" s="13"/>
      <c r="Q11" s="13"/>
      <c r="R11" s="13"/>
    </row>
    <row r="12" spans="1:18" x14ac:dyDescent="0.25">
      <c r="B12" s="23"/>
      <c r="C12" s="24"/>
      <c r="D12" s="24"/>
      <c r="E12" s="24"/>
      <c r="F12" s="24"/>
      <c r="G12" s="24"/>
      <c r="H12" s="24"/>
      <c r="I12" s="24"/>
      <c r="J12" s="25"/>
    </row>
    <row r="13" spans="1:18" x14ac:dyDescent="0.25">
      <c r="B13" s="23"/>
      <c r="C13" s="24"/>
      <c r="D13" s="24"/>
      <c r="E13" s="24"/>
      <c r="F13" s="24"/>
      <c r="G13" s="24"/>
      <c r="H13" s="24"/>
      <c r="I13" s="24"/>
      <c r="J13" s="25"/>
    </row>
    <row r="14" spans="1:18" x14ac:dyDescent="0.25">
      <c r="B14" s="23"/>
      <c r="C14" s="24"/>
      <c r="D14" s="24"/>
      <c r="E14" s="24"/>
      <c r="F14" s="24"/>
      <c r="G14" s="24"/>
      <c r="H14" s="24"/>
      <c r="I14" s="24"/>
      <c r="J14" s="25"/>
    </row>
    <row r="15" spans="1:18" x14ac:dyDescent="0.25">
      <c r="B15" s="23"/>
      <c r="C15" s="24"/>
      <c r="D15" s="24"/>
      <c r="E15" s="24"/>
      <c r="F15" s="24"/>
      <c r="G15" s="24"/>
      <c r="H15" s="24"/>
      <c r="I15" s="24"/>
      <c r="J15" s="25"/>
    </row>
    <row r="16" spans="1:18" x14ac:dyDescent="0.25">
      <c r="B16" s="23"/>
      <c r="C16" s="24"/>
      <c r="D16" s="24"/>
      <c r="E16" s="24"/>
      <c r="F16" s="24"/>
      <c r="G16" s="24"/>
      <c r="H16" s="24"/>
      <c r="I16" s="24"/>
      <c r="J16" s="25"/>
    </row>
    <row r="17" spans="1:18" x14ac:dyDescent="0.25">
      <c r="B17" s="23"/>
      <c r="C17" s="24"/>
      <c r="D17" s="24"/>
      <c r="E17" s="24"/>
      <c r="F17" s="24"/>
      <c r="G17" s="24"/>
      <c r="H17" s="24"/>
      <c r="I17" s="24"/>
      <c r="J17" s="25"/>
    </row>
    <row r="18" spans="1:18" x14ac:dyDescent="0.25">
      <c r="B18" s="23"/>
      <c r="C18" s="24"/>
      <c r="D18" s="24"/>
      <c r="E18" s="24"/>
      <c r="F18" s="24"/>
      <c r="G18" s="24"/>
      <c r="H18" s="24"/>
      <c r="I18" s="24"/>
      <c r="J18" s="25"/>
    </row>
    <row r="19" spans="1:18" x14ac:dyDescent="0.25">
      <c r="B19" s="23"/>
      <c r="C19" s="24"/>
      <c r="D19" s="24"/>
      <c r="E19" s="24"/>
      <c r="F19" s="24"/>
      <c r="G19" s="24"/>
      <c r="H19" s="24"/>
      <c r="I19" s="24"/>
      <c r="J19" s="25"/>
    </row>
    <row r="20" spans="1:18" x14ac:dyDescent="0.25">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48</v>
      </c>
      <c r="G22" s="24"/>
      <c r="H22" s="24"/>
      <c r="I22" s="24"/>
      <c r="J22" s="25"/>
    </row>
    <row r="23" spans="1:18" x14ac:dyDescent="0.25">
      <c r="B23" s="23"/>
      <c r="C23" s="24"/>
      <c r="D23" s="24"/>
      <c r="E23" s="24"/>
      <c r="F23" s="31"/>
      <c r="G23" s="24"/>
      <c r="H23" s="24"/>
      <c r="I23" s="24"/>
      <c r="J23" s="25"/>
    </row>
    <row r="24" spans="1:18" x14ac:dyDescent="0.25">
      <c r="B24" s="23"/>
      <c r="C24" s="24"/>
      <c r="D24" s="144" t="s">
        <v>229</v>
      </c>
      <c r="E24" s="145" t="s">
        <v>49</v>
      </c>
      <c r="F24" s="145"/>
      <c r="G24" s="145"/>
      <c r="H24" s="145"/>
      <c r="I24" s="24"/>
      <c r="J24" s="25"/>
    </row>
    <row r="25" spans="1:18" x14ac:dyDescent="0.25">
      <c r="B25" s="23"/>
      <c r="C25" s="24"/>
      <c r="D25" s="24"/>
      <c r="E25" s="32"/>
      <c r="F25" s="32"/>
      <c r="G25" s="32"/>
      <c r="H25" s="24"/>
      <c r="I25" s="24"/>
      <c r="J25" s="25"/>
    </row>
    <row r="26" spans="1:18" x14ac:dyDescent="0.25">
      <c r="B26" s="23"/>
      <c r="C26" s="24"/>
      <c r="D26" s="144" t="s">
        <v>254</v>
      </c>
      <c r="E26" s="145"/>
      <c r="F26" s="145"/>
      <c r="G26" s="145"/>
      <c r="H26" s="145"/>
      <c r="I26" s="24"/>
      <c r="J26" s="25"/>
    </row>
    <row r="27" spans="1:18" s="50" customFormat="1" x14ac:dyDescent="0.25">
      <c r="A27" s="13"/>
      <c r="B27" s="23"/>
      <c r="C27" s="24"/>
      <c r="D27" s="69"/>
      <c r="E27" s="69"/>
      <c r="F27" s="69"/>
      <c r="G27" s="69"/>
      <c r="H27" s="69"/>
      <c r="I27" s="24"/>
      <c r="J27" s="25"/>
      <c r="K27" s="13"/>
      <c r="L27" s="13"/>
      <c r="M27" s="13"/>
      <c r="N27" s="13"/>
      <c r="O27" s="13"/>
      <c r="P27" s="13"/>
      <c r="Q27" s="13"/>
      <c r="R27" s="13"/>
    </row>
    <row r="28" spans="1:18" s="50" customFormat="1" x14ac:dyDescent="0.25">
      <c r="A28" s="13"/>
      <c r="B28" s="23"/>
      <c r="C28" s="24"/>
      <c r="D28" s="144" t="s">
        <v>255</v>
      </c>
      <c r="E28" s="145" t="s">
        <v>49</v>
      </c>
      <c r="F28" s="145"/>
      <c r="G28" s="145"/>
      <c r="H28" s="145"/>
      <c r="I28" s="24"/>
      <c r="J28" s="25"/>
      <c r="K28" s="13"/>
      <c r="L28" s="13"/>
      <c r="M28" s="13"/>
      <c r="N28" s="13"/>
      <c r="O28" s="13"/>
      <c r="P28" s="13"/>
      <c r="Q28" s="13"/>
      <c r="R28" s="13"/>
    </row>
    <row r="29" spans="1:18" s="84" customFormat="1" x14ac:dyDescent="0.25">
      <c r="A29" s="87"/>
      <c r="B29" s="23"/>
      <c r="C29" s="24"/>
      <c r="D29" s="141"/>
      <c r="E29" s="140"/>
      <c r="F29" s="140"/>
      <c r="G29" s="140"/>
      <c r="H29" s="140"/>
      <c r="I29" s="24"/>
      <c r="J29" s="25"/>
      <c r="K29" s="87"/>
      <c r="L29" s="87"/>
      <c r="M29" s="87"/>
      <c r="N29" s="87"/>
      <c r="O29" s="87"/>
      <c r="P29" s="87"/>
      <c r="Q29" s="87"/>
      <c r="R29" s="87"/>
    </row>
    <row r="30" spans="1:18" s="84" customFormat="1" x14ac:dyDescent="0.25">
      <c r="A30" s="87"/>
      <c r="B30" s="23"/>
      <c r="C30" s="24"/>
      <c r="D30" s="144" t="s">
        <v>1260</v>
      </c>
      <c r="E30" s="145" t="s">
        <v>49</v>
      </c>
      <c r="F30" s="145"/>
      <c r="G30" s="145"/>
      <c r="H30" s="145"/>
      <c r="I30" s="24"/>
      <c r="J30" s="25"/>
      <c r="K30" s="87"/>
      <c r="L30" s="87"/>
      <c r="M30" s="87"/>
      <c r="N30" s="87"/>
      <c r="O30" s="87"/>
      <c r="P30" s="87"/>
      <c r="Q30" s="87"/>
      <c r="R30" s="87"/>
    </row>
    <row r="31" spans="1:18" x14ac:dyDescent="0.25">
      <c r="B31" s="23"/>
      <c r="C31" s="24"/>
      <c r="D31" s="32"/>
      <c r="E31" s="32"/>
      <c r="F31" s="32"/>
      <c r="G31" s="32"/>
      <c r="H31" s="32"/>
      <c r="I31" s="24"/>
      <c r="J31" s="25"/>
    </row>
    <row r="32" spans="1:18" x14ac:dyDescent="0.25">
      <c r="B32" s="23"/>
      <c r="C32" s="24"/>
      <c r="D32" s="144" t="s">
        <v>428</v>
      </c>
      <c r="E32" s="145" t="s">
        <v>49</v>
      </c>
      <c r="F32" s="145"/>
      <c r="G32" s="145"/>
      <c r="H32" s="145"/>
      <c r="I32" s="24"/>
      <c r="J32" s="25"/>
    </row>
    <row r="33" spans="2:10" x14ac:dyDescent="0.25">
      <c r="B33" s="23"/>
      <c r="C33" s="24"/>
      <c r="D33" s="24"/>
      <c r="E33" s="24"/>
      <c r="F33" s="24"/>
      <c r="G33" s="24"/>
      <c r="H33" s="24"/>
      <c r="I33" s="24"/>
      <c r="J33" s="25"/>
    </row>
    <row r="34" spans="2:10" x14ac:dyDescent="0.25">
      <c r="B34" s="23"/>
      <c r="C34" s="24"/>
      <c r="D34" s="24"/>
      <c r="E34" s="24"/>
      <c r="F34" s="24"/>
      <c r="G34" s="24"/>
      <c r="H34" s="24"/>
      <c r="I34" s="24"/>
      <c r="J34" s="25"/>
    </row>
    <row r="35" spans="2:10" ht="15.75" thickBot="1" x14ac:dyDescent="0.3">
      <c r="B35" s="33"/>
      <c r="C35" s="34"/>
      <c r="D35" s="34"/>
      <c r="E35" s="34"/>
      <c r="F35" s="34"/>
      <c r="G35" s="34"/>
      <c r="H35" s="34"/>
      <c r="I35" s="34"/>
      <c r="J35" s="35"/>
    </row>
  </sheetData>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32"/>
  <sheetViews>
    <sheetView topLeftCell="A7" workbookViewId="0">
      <selection activeCell="C19" sqref="C19"/>
    </sheetView>
  </sheetViews>
  <sheetFormatPr defaultRowHeight="15" x14ac:dyDescent="0.25"/>
  <cols>
    <col min="1" max="1" width="4.7109375" style="173" customWidth="1"/>
    <col min="2" max="2" width="16.85546875" style="153" bestFit="1" customWidth="1"/>
    <col min="3" max="3" width="162.42578125" style="154" customWidth="1"/>
    <col min="4" max="31" width="9.140625" style="149" customWidth="1"/>
    <col min="32" max="246" width="9.140625" style="84"/>
    <col min="247" max="247" width="4.7109375" style="84" customWidth="1"/>
    <col min="248" max="248" width="16.85546875" style="84" bestFit="1" customWidth="1"/>
    <col min="249" max="249" width="127.5703125" style="84" customWidth="1"/>
    <col min="250" max="250" width="46.7109375" style="84" customWidth="1"/>
    <col min="251" max="287" width="9.140625" style="84" customWidth="1"/>
    <col min="288" max="502" width="9.140625" style="84"/>
    <col min="503" max="503" width="4.7109375" style="84" customWidth="1"/>
    <col min="504" max="504" width="16.85546875" style="84" bestFit="1" customWidth="1"/>
    <col min="505" max="505" width="127.5703125" style="84" customWidth="1"/>
    <col min="506" max="506" width="46.7109375" style="84" customWidth="1"/>
    <col min="507" max="543" width="9.140625" style="84" customWidth="1"/>
    <col min="544" max="758" width="9.140625" style="84"/>
    <col min="759" max="759" width="4.7109375" style="84" customWidth="1"/>
    <col min="760" max="760" width="16.85546875" style="84" bestFit="1" customWidth="1"/>
    <col min="761" max="761" width="127.5703125" style="84" customWidth="1"/>
    <col min="762" max="762" width="46.7109375" style="84" customWidth="1"/>
    <col min="763" max="799" width="9.140625" style="84" customWidth="1"/>
    <col min="800" max="1014" width="9.140625" style="84"/>
    <col min="1015" max="1015" width="4.7109375" style="84" customWidth="1"/>
    <col min="1016" max="1016" width="16.85546875" style="84" bestFit="1" customWidth="1"/>
    <col min="1017" max="1017" width="127.5703125" style="84" customWidth="1"/>
    <col min="1018" max="1018" width="46.7109375" style="84" customWidth="1"/>
    <col min="1019" max="1055" width="9.140625" style="84" customWidth="1"/>
    <col min="1056" max="1270" width="9.140625" style="84"/>
    <col min="1271" max="1271" width="4.7109375" style="84" customWidth="1"/>
    <col min="1272" max="1272" width="16.85546875" style="84" bestFit="1" customWidth="1"/>
    <col min="1273" max="1273" width="127.5703125" style="84" customWidth="1"/>
    <col min="1274" max="1274" width="46.7109375" style="84" customWidth="1"/>
    <col min="1275" max="1311" width="9.140625" style="84" customWidth="1"/>
    <col min="1312" max="1526" width="9.140625" style="84"/>
    <col min="1527" max="1527" width="4.7109375" style="84" customWidth="1"/>
    <col min="1528" max="1528" width="16.85546875" style="84" bestFit="1" customWidth="1"/>
    <col min="1529" max="1529" width="127.5703125" style="84" customWidth="1"/>
    <col min="1530" max="1530" width="46.7109375" style="84" customWidth="1"/>
    <col min="1531" max="1567" width="9.140625" style="84" customWidth="1"/>
    <col min="1568" max="1782" width="9.140625" style="84"/>
    <col min="1783" max="1783" width="4.7109375" style="84" customWidth="1"/>
    <col min="1784" max="1784" width="16.85546875" style="84" bestFit="1" customWidth="1"/>
    <col min="1785" max="1785" width="127.5703125" style="84" customWidth="1"/>
    <col min="1786" max="1786" width="46.7109375" style="84" customWidth="1"/>
    <col min="1787" max="1823" width="9.140625" style="84" customWidth="1"/>
    <col min="1824" max="2038" width="9.140625" style="84"/>
    <col min="2039" max="2039" width="4.7109375" style="84" customWidth="1"/>
    <col min="2040" max="2040" width="16.85546875" style="84" bestFit="1" customWidth="1"/>
    <col min="2041" max="2041" width="127.5703125" style="84" customWidth="1"/>
    <col min="2042" max="2042" width="46.7109375" style="84" customWidth="1"/>
    <col min="2043" max="2079" width="9.140625" style="84" customWidth="1"/>
    <col min="2080" max="2294" width="9.140625" style="84"/>
    <col min="2295" max="2295" width="4.7109375" style="84" customWidth="1"/>
    <col min="2296" max="2296" width="16.85546875" style="84" bestFit="1" customWidth="1"/>
    <col min="2297" max="2297" width="127.5703125" style="84" customWidth="1"/>
    <col min="2298" max="2298" width="46.7109375" style="84" customWidth="1"/>
    <col min="2299" max="2335" width="9.140625" style="84" customWidth="1"/>
    <col min="2336" max="2550" width="9.140625" style="84"/>
    <col min="2551" max="2551" width="4.7109375" style="84" customWidth="1"/>
    <col min="2552" max="2552" width="16.85546875" style="84" bestFit="1" customWidth="1"/>
    <col min="2553" max="2553" width="127.5703125" style="84" customWidth="1"/>
    <col min="2554" max="2554" width="46.7109375" style="84" customWidth="1"/>
    <col min="2555" max="2591" width="9.140625" style="84" customWidth="1"/>
    <col min="2592" max="2806" width="9.140625" style="84"/>
    <col min="2807" max="2807" width="4.7109375" style="84" customWidth="1"/>
    <col min="2808" max="2808" width="16.85546875" style="84" bestFit="1" customWidth="1"/>
    <col min="2809" max="2809" width="127.5703125" style="84" customWidth="1"/>
    <col min="2810" max="2810" width="46.7109375" style="84" customWidth="1"/>
    <col min="2811" max="2847" width="9.140625" style="84" customWidth="1"/>
    <col min="2848" max="3062" width="9.140625" style="84"/>
    <col min="3063" max="3063" width="4.7109375" style="84" customWidth="1"/>
    <col min="3064" max="3064" width="16.85546875" style="84" bestFit="1" customWidth="1"/>
    <col min="3065" max="3065" width="127.5703125" style="84" customWidth="1"/>
    <col min="3066" max="3066" width="46.7109375" style="84" customWidth="1"/>
    <col min="3067" max="3103" width="9.140625" style="84" customWidth="1"/>
    <col min="3104" max="3318" width="9.140625" style="84"/>
    <col min="3319" max="3319" width="4.7109375" style="84" customWidth="1"/>
    <col min="3320" max="3320" width="16.85546875" style="84" bestFit="1" customWidth="1"/>
    <col min="3321" max="3321" width="127.5703125" style="84" customWidth="1"/>
    <col min="3322" max="3322" width="46.7109375" style="84" customWidth="1"/>
    <col min="3323" max="3359" width="9.140625" style="84" customWidth="1"/>
    <col min="3360" max="3574" width="9.140625" style="84"/>
    <col min="3575" max="3575" width="4.7109375" style="84" customWidth="1"/>
    <col min="3576" max="3576" width="16.85546875" style="84" bestFit="1" customWidth="1"/>
    <col min="3577" max="3577" width="127.5703125" style="84" customWidth="1"/>
    <col min="3578" max="3578" width="46.7109375" style="84" customWidth="1"/>
    <col min="3579" max="3615" width="9.140625" style="84" customWidth="1"/>
    <col min="3616" max="3830" width="9.140625" style="84"/>
    <col min="3831" max="3831" width="4.7109375" style="84" customWidth="1"/>
    <col min="3832" max="3832" width="16.85546875" style="84" bestFit="1" customWidth="1"/>
    <col min="3833" max="3833" width="127.5703125" style="84" customWidth="1"/>
    <col min="3834" max="3834" width="46.7109375" style="84" customWidth="1"/>
    <col min="3835" max="3871" width="9.140625" style="84" customWidth="1"/>
    <col min="3872" max="4086" width="9.140625" style="84"/>
    <col min="4087" max="4087" width="4.7109375" style="84" customWidth="1"/>
    <col min="4088" max="4088" width="16.85546875" style="84" bestFit="1" customWidth="1"/>
    <col min="4089" max="4089" width="127.5703125" style="84" customWidth="1"/>
    <col min="4090" max="4090" width="46.7109375" style="84" customWidth="1"/>
    <col min="4091" max="4127" width="9.140625" style="84" customWidth="1"/>
    <col min="4128" max="4342" width="9.140625" style="84"/>
    <col min="4343" max="4343" width="4.7109375" style="84" customWidth="1"/>
    <col min="4344" max="4344" width="16.85546875" style="84" bestFit="1" customWidth="1"/>
    <col min="4345" max="4345" width="127.5703125" style="84" customWidth="1"/>
    <col min="4346" max="4346" width="46.7109375" style="84" customWidth="1"/>
    <col min="4347" max="4383" width="9.140625" style="84" customWidth="1"/>
    <col min="4384" max="4598" width="9.140625" style="84"/>
    <col min="4599" max="4599" width="4.7109375" style="84" customWidth="1"/>
    <col min="4600" max="4600" width="16.85546875" style="84" bestFit="1" customWidth="1"/>
    <col min="4601" max="4601" width="127.5703125" style="84" customWidth="1"/>
    <col min="4602" max="4602" width="46.7109375" style="84" customWidth="1"/>
    <col min="4603" max="4639" width="9.140625" style="84" customWidth="1"/>
    <col min="4640" max="4854" width="9.140625" style="84"/>
    <col min="4855" max="4855" width="4.7109375" style="84" customWidth="1"/>
    <col min="4856" max="4856" width="16.85546875" style="84" bestFit="1" customWidth="1"/>
    <col min="4857" max="4857" width="127.5703125" style="84" customWidth="1"/>
    <col min="4858" max="4858" width="46.7109375" style="84" customWidth="1"/>
    <col min="4859" max="4895" width="9.140625" style="84" customWidth="1"/>
    <col min="4896" max="5110" width="9.140625" style="84"/>
    <col min="5111" max="5111" width="4.7109375" style="84" customWidth="1"/>
    <col min="5112" max="5112" width="16.85546875" style="84" bestFit="1" customWidth="1"/>
    <col min="5113" max="5113" width="127.5703125" style="84" customWidth="1"/>
    <col min="5114" max="5114" width="46.7109375" style="84" customWidth="1"/>
    <col min="5115" max="5151" width="9.140625" style="84" customWidth="1"/>
    <col min="5152" max="5366" width="9.140625" style="84"/>
    <col min="5367" max="5367" width="4.7109375" style="84" customWidth="1"/>
    <col min="5368" max="5368" width="16.85546875" style="84" bestFit="1" customWidth="1"/>
    <col min="5369" max="5369" width="127.5703125" style="84" customWidth="1"/>
    <col min="5370" max="5370" width="46.7109375" style="84" customWidth="1"/>
    <col min="5371" max="5407" width="9.140625" style="84" customWidth="1"/>
    <col min="5408" max="5622" width="9.140625" style="84"/>
    <col min="5623" max="5623" width="4.7109375" style="84" customWidth="1"/>
    <col min="5624" max="5624" width="16.85546875" style="84" bestFit="1" customWidth="1"/>
    <col min="5625" max="5625" width="127.5703125" style="84" customWidth="1"/>
    <col min="5626" max="5626" width="46.7109375" style="84" customWidth="1"/>
    <col min="5627" max="5663" width="9.140625" style="84" customWidth="1"/>
    <col min="5664" max="5878" width="9.140625" style="84"/>
    <col min="5879" max="5879" width="4.7109375" style="84" customWidth="1"/>
    <col min="5880" max="5880" width="16.85546875" style="84" bestFit="1" customWidth="1"/>
    <col min="5881" max="5881" width="127.5703125" style="84" customWidth="1"/>
    <col min="5882" max="5882" width="46.7109375" style="84" customWidth="1"/>
    <col min="5883" max="5919" width="9.140625" style="84" customWidth="1"/>
    <col min="5920" max="6134" width="9.140625" style="84"/>
    <col min="6135" max="6135" width="4.7109375" style="84" customWidth="1"/>
    <col min="6136" max="6136" width="16.85546875" style="84" bestFit="1" customWidth="1"/>
    <col min="6137" max="6137" width="127.5703125" style="84" customWidth="1"/>
    <col min="6138" max="6138" width="46.7109375" style="84" customWidth="1"/>
    <col min="6139" max="6175" width="9.140625" style="84" customWidth="1"/>
    <col min="6176" max="6390" width="9.140625" style="84"/>
    <col min="6391" max="6391" width="4.7109375" style="84" customWidth="1"/>
    <col min="6392" max="6392" width="16.85546875" style="84" bestFit="1" customWidth="1"/>
    <col min="6393" max="6393" width="127.5703125" style="84" customWidth="1"/>
    <col min="6394" max="6394" width="46.7109375" style="84" customWidth="1"/>
    <col min="6395" max="6431" width="9.140625" style="84" customWidth="1"/>
    <col min="6432" max="6646" width="9.140625" style="84"/>
    <col min="6647" max="6647" width="4.7109375" style="84" customWidth="1"/>
    <col min="6648" max="6648" width="16.85546875" style="84" bestFit="1" customWidth="1"/>
    <col min="6649" max="6649" width="127.5703125" style="84" customWidth="1"/>
    <col min="6650" max="6650" width="46.7109375" style="84" customWidth="1"/>
    <col min="6651" max="6687" width="9.140625" style="84" customWidth="1"/>
    <col min="6688" max="6902" width="9.140625" style="84"/>
    <col min="6903" max="6903" width="4.7109375" style="84" customWidth="1"/>
    <col min="6904" max="6904" width="16.85546875" style="84" bestFit="1" customWidth="1"/>
    <col min="6905" max="6905" width="127.5703125" style="84" customWidth="1"/>
    <col min="6906" max="6906" width="46.7109375" style="84" customWidth="1"/>
    <col min="6907" max="6943" width="9.140625" style="84" customWidth="1"/>
    <col min="6944" max="7158" width="9.140625" style="84"/>
    <col min="7159" max="7159" width="4.7109375" style="84" customWidth="1"/>
    <col min="7160" max="7160" width="16.85546875" style="84" bestFit="1" customWidth="1"/>
    <col min="7161" max="7161" width="127.5703125" style="84" customWidth="1"/>
    <col min="7162" max="7162" width="46.7109375" style="84" customWidth="1"/>
    <col min="7163" max="7199" width="9.140625" style="84" customWidth="1"/>
    <col min="7200" max="7414" width="9.140625" style="84"/>
    <col min="7415" max="7415" width="4.7109375" style="84" customWidth="1"/>
    <col min="7416" max="7416" width="16.85546875" style="84" bestFit="1" customWidth="1"/>
    <col min="7417" max="7417" width="127.5703125" style="84" customWidth="1"/>
    <col min="7418" max="7418" width="46.7109375" style="84" customWidth="1"/>
    <col min="7419" max="7455" width="9.140625" style="84" customWidth="1"/>
    <col min="7456" max="7670" width="9.140625" style="84"/>
    <col min="7671" max="7671" width="4.7109375" style="84" customWidth="1"/>
    <col min="7672" max="7672" width="16.85546875" style="84" bestFit="1" customWidth="1"/>
    <col min="7673" max="7673" width="127.5703125" style="84" customWidth="1"/>
    <col min="7674" max="7674" width="46.7109375" style="84" customWidth="1"/>
    <col min="7675" max="7711" width="9.140625" style="84" customWidth="1"/>
    <col min="7712" max="7926" width="9.140625" style="84"/>
    <col min="7927" max="7927" width="4.7109375" style="84" customWidth="1"/>
    <col min="7928" max="7928" width="16.85546875" style="84" bestFit="1" customWidth="1"/>
    <col min="7929" max="7929" width="127.5703125" style="84" customWidth="1"/>
    <col min="7930" max="7930" width="46.7109375" style="84" customWidth="1"/>
    <col min="7931" max="7967" width="9.140625" style="84" customWidth="1"/>
    <col min="7968" max="8182" width="9.140625" style="84"/>
    <col min="8183" max="8183" width="4.7109375" style="84" customWidth="1"/>
    <col min="8184" max="8184" width="16.85546875" style="84" bestFit="1" customWidth="1"/>
    <col min="8185" max="8185" width="127.5703125" style="84" customWidth="1"/>
    <col min="8186" max="8186" width="46.7109375" style="84" customWidth="1"/>
    <col min="8187" max="8223" width="9.140625" style="84" customWidth="1"/>
    <col min="8224" max="8438" width="9.140625" style="84"/>
    <col min="8439" max="8439" width="4.7109375" style="84" customWidth="1"/>
    <col min="8440" max="8440" width="16.85546875" style="84" bestFit="1" customWidth="1"/>
    <col min="8441" max="8441" width="127.5703125" style="84" customWidth="1"/>
    <col min="8442" max="8442" width="46.7109375" style="84" customWidth="1"/>
    <col min="8443" max="8479" width="9.140625" style="84" customWidth="1"/>
    <col min="8480" max="8694" width="9.140625" style="84"/>
    <col min="8695" max="8695" width="4.7109375" style="84" customWidth="1"/>
    <col min="8696" max="8696" width="16.85546875" style="84" bestFit="1" customWidth="1"/>
    <col min="8697" max="8697" width="127.5703125" style="84" customWidth="1"/>
    <col min="8698" max="8698" width="46.7109375" style="84" customWidth="1"/>
    <col min="8699" max="8735" width="9.140625" style="84" customWidth="1"/>
    <col min="8736" max="8950" width="9.140625" style="84"/>
    <col min="8951" max="8951" width="4.7109375" style="84" customWidth="1"/>
    <col min="8952" max="8952" width="16.85546875" style="84" bestFit="1" customWidth="1"/>
    <col min="8953" max="8953" width="127.5703125" style="84" customWidth="1"/>
    <col min="8954" max="8954" width="46.7109375" style="84" customWidth="1"/>
    <col min="8955" max="8991" width="9.140625" style="84" customWidth="1"/>
    <col min="8992" max="9206" width="9.140625" style="84"/>
    <col min="9207" max="9207" width="4.7109375" style="84" customWidth="1"/>
    <col min="9208" max="9208" width="16.85546875" style="84" bestFit="1" customWidth="1"/>
    <col min="9209" max="9209" width="127.5703125" style="84" customWidth="1"/>
    <col min="9210" max="9210" width="46.7109375" style="84" customWidth="1"/>
    <col min="9211" max="9247" width="9.140625" style="84" customWidth="1"/>
    <col min="9248" max="9462" width="9.140625" style="84"/>
    <col min="9463" max="9463" width="4.7109375" style="84" customWidth="1"/>
    <col min="9464" max="9464" width="16.85546875" style="84" bestFit="1" customWidth="1"/>
    <col min="9465" max="9465" width="127.5703125" style="84" customWidth="1"/>
    <col min="9466" max="9466" width="46.7109375" style="84" customWidth="1"/>
    <col min="9467" max="9503" width="9.140625" style="84" customWidth="1"/>
    <col min="9504" max="9718" width="9.140625" style="84"/>
    <col min="9719" max="9719" width="4.7109375" style="84" customWidth="1"/>
    <col min="9720" max="9720" width="16.85546875" style="84" bestFit="1" customWidth="1"/>
    <col min="9721" max="9721" width="127.5703125" style="84" customWidth="1"/>
    <col min="9722" max="9722" width="46.7109375" style="84" customWidth="1"/>
    <col min="9723" max="9759" width="9.140625" style="84" customWidth="1"/>
    <col min="9760" max="9974" width="9.140625" style="84"/>
    <col min="9975" max="9975" width="4.7109375" style="84" customWidth="1"/>
    <col min="9976" max="9976" width="16.85546875" style="84" bestFit="1" customWidth="1"/>
    <col min="9977" max="9977" width="127.5703125" style="84" customWidth="1"/>
    <col min="9978" max="9978" width="46.7109375" style="84" customWidth="1"/>
    <col min="9979" max="10015" width="9.140625" style="84" customWidth="1"/>
    <col min="10016" max="10230" width="9.140625" style="84"/>
    <col min="10231" max="10231" width="4.7109375" style="84" customWidth="1"/>
    <col min="10232" max="10232" width="16.85546875" style="84" bestFit="1" customWidth="1"/>
    <col min="10233" max="10233" width="127.5703125" style="84" customWidth="1"/>
    <col min="10234" max="10234" width="46.7109375" style="84" customWidth="1"/>
    <col min="10235" max="10271" width="9.140625" style="84" customWidth="1"/>
    <col min="10272" max="10486" width="9.140625" style="84"/>
    <col min="10487" max="10487" width="4.7109375" style="84" customWidth="1"/>
    <col min="10488" max="10488" width="16.85546875" style="84" bestFit="1" customWidth="1"/>
    <col min="10489" max="10489" width="127.5703125" style="84" customWidth="1"/>
    <col min="10490" max="10490" width="46.7109375" style="84" customWidth="1"/>
    <col min="10491" max="10527" width="9.140625" style="84" customWidth="1"/>
    <col min="10528" max="10742" width="9.140625" style="84"/>
    <col min="10743" max="10743" width="4.7109375" style="84" customWidth="1"/>
    <col min="10744" max="10744" width="16.85546875" style="84" bestFit="1" customWidth="1"/>
    <col min="10745" max="10745" width="127.5703125" style="84" customWidth="1"/>
    <col min="10746" max="10746" width="46.7109375" style="84" customWidth="1"/>
    <col min="10747" max="10783" width="9.140625" style="84" customWidth="1"/>
    <col min="10784" max="10998" width="9.140625" style="84"/>
    <col min="10999" max="10999" width="4.7109375" style="84" customWidth="1"/>
    <col min="11000" max="11000" width="16.85546875" style="84" bestFit="1" customWidth="1"/>
    <col min="11001" max="11001" width="127.5703125" style="84" customWidth="1"/>
    <col min="11002" max="11002" width="46.7109375" style="84" customWidth="1"/>
    <col min="11003" max="11039" width="9.140625" style="84" customWidth="1"/>
    <col min="11040" max="11254" width="9.140625" style="84"/>
    <col min="11255" max="11255" width="4.7109375" style="84" customWidth="1"/>
    <col min="11256" max="11256" width="16.85546875" style="84" bestFit="1" customWidth="1"/>
    <col min="11257" max="11257" width="127.5703125" style="84" customWidth="1"/>
    <col min="11258" max="11258" width="46.7109375" style="84" customWidth="1"/>
    <col min="11259" max="11295" width="9.140625" style="84" customWidth="1"/>
    <col min="11296" max="11510" width="9.140625" style="84"/>
    <col min="11511" max="11511" width="4.7109375" style="84" customWidth="1"/>
    <col min="11512" max="11512" width="16.85546875" style="84" bestFit="1" customWidth="1"/>
    <col min="11513" max="11513" width="127.5703125" style="84" customWidth="1"/>
    <col min="11514" max="11514" width="46.7109375" style="84" customWidth="1"/>
    <col min="11515" max="11551" width="9.140625" style="84" customWidth="1"/>
    <col min="11552" max="11766" width="9.140625" style="84"/>
    <col min="11767" max="11767" width="4.7109375" style="84" customWidth="1"/>
    <col min="11768" max="11768" width="16.85546875" style="84" bestFit="1" customWidth="1"/>
    <col min="11769" max="11769" width="127.5703125" style="84" customWidth="1"/>
    <col min="11770" max="11770" width="46.7109375" style="84" customWidth="1"/>
    <col min="11771" max="11807" width="9.140625" style="84" customWidth="1"/>
    <col min="11808" max="12022" width="9.140625" style="84"/>
    <col min="12023" max="12023" width="4.7109375" style="84" customWidth="1"/>
    <col min="12024" max="12024" width="16.85546875" style="84" bestFit="1" customWidth="1"/>
    <col min="12025" max="12025" width="127.5703125" style="84" customWidth="1"/>
    <col min="12026" max="12026" width="46.7109375" style="84" customWidth="1"/>
    <col min="12027" max="12063" width="9.140625" style="84" customWidth="1"/>
    <col min="12064" max="12278" width="9.140625" style="84"/>
    <col min="12279" max="12279" width="4.7109375" style="84" customWidth="1"/>
    <col min="12280" max="12280" width="16.85546875" style="84" bestFit="1" customWidth="1"/>
    <col min="12281" max="12281" width="127.5703125" style="84" customWidth="1"/>
    <col min="12282" max="12282" width="46.7109375" style="84" customWidth="1"/>
    <col min="12283" max="12319" width="9.140625" style="84" customWidth="1"/>
    <col min="12320" max="12534" width="9.140625" style="84"/>
    <col min="12535" max="12535" width="4.7109375" style="84" customWidth="1"/>
    <col min="12536" max="12536" width="16.85546875" style="84" bestFit="1" customWidth="1"/>
    <col min="12537" max="12537" width="127.5703125" style="84" customWidth="1"/>
    <col min="12538" max="12538" width="46.7109375" style="84" customWidth="1"/>
    <col min="12539" max="12575" width="9.140625" style="84" customWidth="1"/>
    <col min="12576" max="12790" width="9.140625" style="84"/>
    <col min="12791" max="12791" width="4.7109375" style="84" customWidth="1"/>
    <col min="12792" max="12792" width="16.85546875" style="84" bestFit="1" customWidth="1"/>
    <col min="12793" max="12793" width="127.5703125" style="84" customWidth="1"/>
    <col min="12794" max="12794" width="46.7109375" style="84" customWidth="1"/>
    <col min="12795" max="12831" width="9.140625" style="84" customWidth="1"/>
    <col min="12832" max="13046" width="9.140625" style="84"/>
    <col min="13047" max="13047" width="4.7109375" style="84" customWidth="1"/>
    <col min="13048" max="13048" width="16.85546875" style="84" bestFit="1" customWidth="1"/>
    <col min="13049" max="13049" width="127.5703125" style="84" customWidth="1"/>
    <col min="13050" max="13050" width="46.7109375" style="84" customWidth="1"/>
    <col min="13051" max="13087" width="9.140625" style="84" customWidth="1"/>
    <col min="13088" max="13302" width="9.140625" style="84"/>
    <col min="13303" max="13303" width="4.7109375" style="84" customWidth="1"/>
    <col min="13304" max="13304" width="16.85546875" style="84" bestFit="1" customWidth="1"/>
    <col min="13305" max="13305" width="127.5703125" style="84" customWidth="1"/>
    <col min="13306" max="13306" width="46.7109375" style="84" customWidth="1"/>
    <col min="13307" max="13343" width="9.140625" style="84" customWidth="1"/>
    <col min="13344" max="13558" width="9.140625" style="84"/>
    <col min="13559" max="13559" width="4.7109375" style="84" customWidth="1"/>
    <col min="13560" max="13560" width="16.85546875" style="84" bestFit="1" customWidth="1"/>
    <col min="13561" max="13561" width="127.5703125" style="84" customWidth="1"/>
    <col min="13562" max="13562" width="46.7109375" style="84" customWidth="1"/>
    <col min="13563" max="13599" width="9.140625" style="84" customWidth="1"/>
    <col min="13600" max="13814" width="9.140625" style="84"/>
    <col min="13815" max="13815" width="4.7109375" style="84" customWidth="1"/>
    <col min="13816" max="13816" width="16.85546875" style="84" bestFit="1" customWidth="1"/>
    <col min="13817" max="13817" width="127.5703125" style="84" customWidth="1"/>
    <col min="13818" max="13818" width="46.7109375" style="84" customWidth="1"/>
    <col min="13819" max="13855" width="9.140625" style="84" customWidth="1"/>
    <col min="13856" max="14070" width="9.140625" style="84"/>
    <col min="14071" max="14071" width="4.7109375" style="84" customWidth="1"/>
    <col min="14072" max="14072" width="16.85546875" style="84" bestFit="1" customWidth="1"/>
    <col min="14073" max="14073" width="127.5703125" style="84" customWidth="1"/>
    <col min="14074" max="14074" width="46.7109375" style="84" customWidth="1"/>
    <col min="14075" max="14111" width="9.140625" style="84" customWidth="1"/>
    <col min="14112" max="14326" width="9.140625" style="84"/>
    <col min="14327" max="14327" width="4.7109375" style="84" customWidth="1"/>
    <col min="14328" max="14328" width="16.85546875" style="84" bestFit="1" customWidth="1"/>
    <col min="14329" max="14329" width="127.5703125" style="84" customWidth="1"/>
    <col min="14330" max="14330" width="46.7109375" style="84" customWidth="1"/>
    <col min="14331" max="14367" width="9.140625" style="84" customWidth="1"/>
    <col min="14368" max="14582" width="9.140625" style="84"/>
    <col min="14583" max="14583" width="4.7109375" style="84" customWidth="1"/>
    <col min="14584" max="14584" width="16.85546875" style="84" bestFit="1" customWidth="1"/>
    <col min="14585" max="14585" width="127.5703125" style="84" customWidth="1"/>
    <col min="14586" max="14586" width="46.7109375" style="84" customWidth="1"/>
    <col min="14587" max="14623" width="9.140625" style="84" customWidth="1"/>
    <col min="14624" max="14838" width="9.140625" style="84"/>
    <col min="14839" max="14839" width="4.7109375" style="84" customWidth="1"/>
    <col min="14840" max="14840" width="16.85546875" style="84" bestFit="1" customWidth="1"/>
    <col min="14841" max="14841" width="127.5703125" style="84" customWidth="1"/>
    <col min="14842" max="14842" width="46.7109375" style="84" customWidth="1"/>
    <col min="14843" max="14879" width="9.140625" style="84" customWidth="1"/>
    <col min="14880" max="15094" width="9.140625" style="84"/>
    <col min="15095" max="15095" width="4.7109375" style="84" customWidth="1"/>
    <col min="15096" max="15096" width="16.85546875" style="84" bestFit="1" customWidth="1"/>
    <col min="15097" max="15097" width="127.5703125" style="84" customWidth="1"/>
    <col min="15098" max="15098" width="46.7109375" style="84" customWidth="1"/>
    <col min="15099" max="15135" width="9.140625" style="84" customWidth="1"/>
    <col min="15136" max="15350" width="9.140625" style="84"/>
    <col min="15351" max="15351" width="4.7109375" style="84" customWidth="1"/>
    <col min="15352" max="15352" width="16.85546875" style="84" bestFit="1" customWidth="1"/>
    <col min="15353" max="15353" width="127.5703125" style="84" customWidth="1"/>
    <col min="15354" max="15354" width="46.7109375" style="84" customWidth="1"/>
    <col min="15355" max="15391" width="9.140625" style="84" customWidth="1"/>
    <col min="15392" max="15606" width="9.140625" style="84"/>
    <col min="15607" max="15607" width="4.7109375" style="84" customWidth="1"/>
    <col min="15608" max="15608" width="16.85546875" style="84" bestFit="1" customWidth="1"/>
    <col min="15609" max="15609" width="127.5703125" style="84" customWidth="1"/>
    <col min="15610" max="15610" width="46.7109375" style="84" customWidth="1"/>
    <col min="15611" max="15647" width="9.140625" style="84" customWidth="1"/>
    <col min="15648" max="15862" width="9.140625" style="84"/>
    <col min="15863" max="15863" width="4.7109375" style="84" customWidth="1"/>
    <col min="15864" max="15864" width="16.85546875" style="84" bestFit="1" customWidth="1"/>
    <col min="15865" max="15865" width="127.5703125" style="84" customWidth="1"/>
    <col min="15866" max="15866" width="46.7109375" style="84" customWidth="1"/>
    <col min="15867" max="15903" width="9.140625" style="84" customWidth="1"/>
    <col min="15904" max="16118" width="9.140625" style="84"/>
    <col min="16119" max="16119" width="4.7109375" style="84" customWidth="1"/>
    <col min="16120" max="16120" width="16.85546875" style="84" bestFit="1" customWidth="1"/>
    <col min="16121" max="16121" width="127.5703125" style="84" customWidth="1"/>
    <col min="16122" max="16122" width="46.7109375" style="84" customWidth="1"/>
    <col min="16123" max="16159" width="9.140625" style="84" customWidth="1"/>
    <col min="16160" max="16384" width="9.140625" style="84"/>
  </cols>
  <sheetData>
    <row r="1" spans="1:31" ht="31.5" x14ac:dyDescent="0.5">
      <c r="A1" s="147" t="s">
        <v>1281</v>
      </c>
      <c r="B1" s="148"/>
      <c r="C1" s="148"/>
    </row>
    <row r="2" spans="1:31" ht="31.5" x14ac:dyDescent="0.5">
      <c r="A2" s="150" t="s">
        <v>1282</v>
      </c>
      <c r="B2" s="151"/>
      <c r="C2" s="151"/>
    </row>
    <row r="3" spans="1:31" x14ac:dyDescent="0.25">
      <c r="A3" s="152"/>
    </row>
    <row r="4" spans="1:31" s="159" customFormat="1" ht="18.75" x14ac:dyDescent="0.25">
      <c r="A4" s="155"/>
      <c r="B4" s="156"/>
      <c r="C4" s="157" t="s">
        <v>1283</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row>
    <row r="5" spans="1:31" s="81" customFormat="1" ht="18.75" x14ac:dyDescent="0.25">
      <c r="A5" s="160" t="s">
        <v>1284</v>
      </c>
      <c r="B5" s="161"/>
      <c r="C5" s="162"/>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1" x14ac:dyDescent="0.25">
      <c r="A6" s="164" t="s">
        <v>1285</v>
      </c>
      <c r="B6" s="164"/>
      <c r="C6" s="165"/>
    </row>
    <row r="7" spans="1:31" ht="60" x14ac:dyDescent="0.25">
      <c r="A7" s="166"/>
      <c r="B7" s="167" t="s">
        <v>1286</v>
      </c>
      <c r="C7" s="168" t="s">
        <v>1287</v>
      </c>
    </row>
    <row r="8" spans="1:31" x14ac:dyDescent="0.25">
      <c r="A8" s="164" t="s">
        <v>1288</v>
      </c>
      <c r="B8" s="164"/>
      <c r="C8" s="165"/>
    </row>
    <row r="9" spans="1:31" ht="30" x14ac:dyDescent="0.25">
      <c r="A9" s="169"/>
      <c r="B9" s="167" t="s">
        <v>1289</v>
      </c>
      <c r="C9" s="168" t="s">
        <v>1290</v>
      </c>
    </row>
    <row r="10" spans="1:31" x14ac:dyDescent="0.25">
      <c r="A10" s="164" t="s">
        <v>1291</v>
      </c>
      <c r="B10" s="164"/>
      <c r="C10" s="165"/>
    </row>
    <row r="11" spans="1:31" x14ac:dyDescent="0.25">
      <c r="A11" s="169"/>
      <c r="B11" s="167" t="s">
        <v>1292</v>
      </c>
      <c r="C11" s="170" t="s">
        <v>1293</v>
      </c>
    </row>
    <row r="12" spans="1:31" x14ac:dyDescent="0.25">
      <c r="A12" s="164" t="s">
        <v>1294</v>
      </c>
      <c r="B12" s="164"/>
      <c r="C12" s="165"/>
    </row>
    <row r="13" spans="1:31" ht="30" x14ac:dyDescent="0.25">
      <c r="A13" s="166"/>
      <c r="B13" s="167" t="s">
        <v>1295</v>
      </c>
      <c r="C13" s="168" t="s">
        <v>1296</v>
      </c>
    </row>
    <row r="14" spans="1:31" x14ac:dyDescent="0.25">
      <c r="A14" s="164" t="s">
        <v>1297</v>
      </c>
      <c r="B14" s="164"/>
      <c r="C14" s="165"/>
    </row>
    <row r="15" spans="1:31" ht="30" x14ac:dyDescent="0.25">
      <c r="A15" s="166"/>
      <c r="B15" s="167" t="s">
        <v>1298</v>
      </c>
      <c r="C15" s="170" t="s">
        <v>1299</v>
      </c>
    </row>
    <row r="16" spans="1:31" x14ac:dyDescent="0.25">
      <c r="A16" s="164" t="s">
        <v>1300</v>
      </c>
      <c r="B16" s="164"/>
      <c r="C16" s="165"/>
    </row>
    <row r="17" spans="1:31" x14ac:dyDescent="0.25">
      <c r="A17" s="166"/>
      <c r="B17" s="167" t="s">
        <v>1301</v>
      </c>
      <c r="C17" s="170" t="s">
        <v>1302</v>
      </c>
    </row>
    <row r="18" spans="1:31" x14ac:dyDescent="0.25">
      <c r="A18" s="164" t="s">
        <v>1303</v>
      </c>
      <c r="B18" s="164"/>
      <c r="C18" s="165"/>
    </row>
    <row r="19" spans="1:31" ht="30" x14ac:dyDescent="0.25">
      <c r="A19" s="166"/>
      <c r="B19" s="167" t="s">
        <v>1304</v>
      </c>
      <c r="C19" s="168" t="s">
        <v>1305</v>
      </c>
      <c r="D19" s="171"/>
    </row>
    <row r="20" spans="1:31" s="81" customFormat="1" ht="18.75" x14ac:dyDescent="0.25">
      <c r="A20" s="160" t="s">
        <v>1306</v>
      </c>
      <c r="B20" s="161"/>
      <c r="C20" s="172"/>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row>
    <row r="21" spans="1:31" x14ac:dyDescent="0.25">
      <c r="A21" s="164" t="s">
        <v>1307</v>
      </c>
      <c r="B21" s="164"/>
      <c r="C21" s="165"/>
    </row>
    <row r="22" spans="1:31" ht="30" x14ac:dyDescent="0.25">
      <c r="A22" s="169"/>
      <c r="B22" s="167" t="s">
        <v>1308</v>
      </c>
      <c r="C22" s="168" t="s">
        <v>1309</v>
      </c>
    </row>
    <row r="23" spans="1:31" x14ac:dyDescent="0.25">
      <c r="A23" s="164" t="s">
        <v>1310</v>
      </c>
      <c r="B23" s="164"/>
      <c r="C23" s="165"/>
      <c r="D23" s="171"/>
    </row>
    <row r="24" spans="1:31" ht="30" x14ac:dyDescent="0.25">
      <c r="A24" s="166"/>
      <c r="B24" s="167" t="s">
        <v>1311</v>
      </c>
      <c r="C24" s="170" t="s">
        <v>1312</v>
      </c>
      <c r="D24" s="171"/>
    </row>
    <row r="25" spans="1:31" x14ac:dyDescent="0.25">
      <c r="A25" s="164" t="s">
        <v>1313</v>
      </c>
      <c r="B25" s="164"/>
      <c r="C25" s="165"/>
      <c r="D25" s="171"/>
    </row>
    <row r="26" spans="1:31" ht="30" x14ac:dyDescent="0.25">
      <c r="A26" s="166"/>
      <c r="B26" s="167" t="s">
        <v>1314</v>
      </c>
      <c r="C26" s="170" t="s">
        <v>1315</v>
      </c>
      <c r="D26" s="171"/>
    </row>
    <row r="27" spans="1:31" x14ac:dyDescent="0.25">
      <c r="A27" s="164" t="s">
        <v>1316</v>
      </c>
      <c r="B27" s="164"/>
      <c r="C27" s="165"/>
    </row>
    <row r="28" spans="1:31" ht="30" x14ac:dyDescent="0.25">
      <c r="A28" s="166"/>
      <c r="B28" s="167" t="s">
        <v>1317</v>
      </c>
      <c r="C28" s="170" t="s">
        <v>1318</v>
      </c>
    </row>
    <row r="30" spans="1:31" x14ac:dyDescent="0.25">
      <c r="C30" s="7"/>
    </row>
    <row r="31" spans="1:31" x14ac:dyDescent="0.25">
      <c r="C31" s="7"/>
    </row>
    <row r="32" spans="1:31" x14ac:dyDescent="0.25">
      <c r="C32" s="7"/>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1"/>
  <sheetViews>
    <sheetView topLeftCell="A80" zoomScale="85" zoomScaleNormal="85" zoomScalePageLayoutView="80" workbookViewId="0">
      <selection activeCell="C306" sqref="C306"/>
    </sheetView>
  </sheetViews>
  <sheetFormatPr defaultColWidth="8.85546875" defaultRowHeight="15" outlineLevelRow="1" x14ac:dyDescent="0.25"/>
  <cols>
    <col min="1" max="1" width="13.28515625" style="53" customWidth="1" collapsed="1"/>
    <col min="2" max="2" width="60.7109375" style="53" customWidth="1" collapsed="1"/>
    <col min="3" max="3" width="41.7109375" style="53" customWidth="1" collapsed="1"/>
    <col min="4" max="4" width="24.42578125" style="53" customWidth="1" collapsed="1"/>
    <col min="5" max="5" width="9.5703125" style="53" customWidth="1" collapsed="1"/>
    <col min="6" max="6" width="24.5703125" style="53" customWidth="1" collapsed="1"/>
    <col min="7" max="7" width="24.5703125" style="52" customWidth="1" collapsed="1"/>
    <col min="8" max="8" width="7.28515625" style="53" customWidth="1" collapsed="1"/>
    <col min="9" max="9" width="16.5703125" style="53" customWidth="1" collapsed="1"/>
    <col min="10" max="10" width="15.28515625" style="53" customWidth="1" collapsed="1"/>
    <col min="11" max="11" width="15.7109375"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x14ac:dyDescent="0.25">
      <c r="A1" s="19" t="s">
        <v>227</v>
      </c>
      <c r="B1" s="19"/>
      <c r="C1" s="52"/>
      <c r="D1" s="52"/>
      <c r="E1" s="52"/>
      <c r="F1" s="52"/>
      <c r="H1" s="52"/>
      <c r="I1" s="19"/>
      <c r="J1" s="52"/>
      <c r="K1" s="52"/>
      <c r="L1" s="52"/>
      <c r="M1" s="52"/>
    </row>
    <row r="2" spans="1:13" ht="15.75" customHeight="1" thickBot="1" x14ac:dyDescent="0.3">
      <c r="A2" s="52"/>
      <c r="B2" s="92"/>
      <c r="C2" s="92"/>
      <c r="D2" s="52"/>
      <c r="E2" s="52"/>
      <c r="F2" s="52"/>
      <c r="H2" s="52"/>
      <c r="L2" s="52"/>
      <c r="M2" s="52"/>
    </row>
    <row r="3" spans="1:13" ht="19.5" customHeight="1" thickBot="1" x14ac:dyDescent="0.3">
      <c r="A3" s="44"/>
      <c r="B3" s="43" t="s">
        <v>127</v>
      </c>
      <c r="C3" s="93" t="s">
        <v>1052</v>
      </c>
      <c r="D3" s="44"/>
      <c r="E3" s="44"/>
      <c r="F3" s="44"/>
      <c r="G3" s="44"/>
      <c r="H3" s="52"/>
      <c r="L3" s="52"/>
      <c r="M3" s="52"/>
    </row>
    <row r="4" spans="1:13" ht="15.75" thickBot="1" x14ac:dyDescent="0.3">
      <c r="H4" s="52"/>
      <c r="L4" s="52"/>
      <c r="M4" s="52"/>
    </row>
    <row r="5" spans="1:13" ht="19.5" customHeight="1" thickBot="1" x14ac:dyDescent="0.3">
      <c r="A5" s="61"/>
      <c r="B5" s="79" t="s">
        <v>226</v>
      </c>
      <c r="C5" s="61"/>
      <c r="E5" s="3"/>
      <c r="F5" s="3"/>
      <c r="H5" s="52"/>
      <c r="L5" s="52"/>
      <c r="M5" s="52"/>
    </row>
    <row r="6" spans="1:13" ht="15" customHeight="1" x14ac:dyDescent="0.25">
      <c r="B6" s="73" t="s">
        <v>57</v>
      </c>
      <c r="H6" s="52"/>
      <c r="L6" s="52"/>
      <c r="M6" s="52"/>
    </row>
    <row r="7" spans="1:13" ht="15" customHeight="1" x14ac:dyDescent="0.25">
      <c r="B7" s="74" t="s">
        <v>58</v>
      </c>
      <c r="D7" s="113"/>
      <c r="H7" s="52"/>
      <c r="L7" s="52"/>
      <c r="M7" s="52"/>
    </row>
    <row r="8" spans="1:13" ht="15" customHeight="1" x14ac:dyDescent="0.25">
      <c r="B8" s="74" t="s">
        <v>59</v>
      </c>
      <c r="F8" s="53" t="s">
        <v>210</v>
      </c>
      <c r="H8" s="52"/>
      <c r="L8" s="52"/>
      <c r="M8" s="52"/>
    </row>
    <row r="9" spans="1:13" ht="15" customHeight="1" x14ac:dyDescent="0.25">
      <c r="B9" s="76" t="s">
        <v>212</v>
      </c>
      <c r="H9" s="52"/>
      <c r="L9" s="52"/>
      <c r="M9" s="52"/>
    </row>
    <row r="10" spans="1:13" ht="15" customHeight="1" x14ac:dyDescent="0.25">
      <c r="B10" s="76" t="s">
        <v>213</v>
      </c>
      <c r="H10" s="52"/>
      <c r="L10" s="52"/>
      <c r="M10" s="52"/>
    </row>
    <row r="11" spans="1:13" ht="15.75" customHeight="1" thickBot="1" x14ac:dyDescent="0.3">
      <c r="B11" s="77" t="s">
        <v>214</v>
      </c>
      <c r="H11" s="52"/>
      <c r="L11" s="52"/>
      <c r="M11" s="52"/>
    </row>
    <row r="12" spans="1:13" ht="15" customHeight="1" x14ac:dyDescent="0.25">
      <c r="B12" s="66"/>
      <c r="H12" s="52"/>
      <c r="L12" s="52"/>
      <c r="M12" s="52"/>
    </row>
    <row r="13" spans="1:13" ht="37.5" customHeight="1" x14ac:dyDescent="0.25">
      <c r="A13" s="18" t="s">
        <v>221</v>
      </c>
      <c r="B13" s="18" t="s">
        <v>57</v>
      </c>
      <c r="C13" s="15"/>
      <c r="D13" s="15"/>
      <c r="E13" s="15"/>
      <c r="F13" s="15"/>
      <c r="G13" s="16"/>
      <c r="H13" s="52"/>
      <c r="L13" s="52"/>
      <c r="M13" s="52"/>
    </row>
    <row r="14" spans="1:13" ht="15" customHeight="1" x14ac:dyDescent="0.25">
      <c r="A14" s="53" t="s">
        <v>429</v>
      </c>
      <c r="B14" s="45" t="s">
        <v>50</v>
      </c>
      <c r="C14" s="53" t="s">
        <v>103</v>
      </c>
      <c r="E14" s="3"/>
      <c r="F14" s="3"/>
      <c r="H14" s="52"/>
      <c r="L14" s="52"/>
      <c r="M14" s="52"/>
    </row>
    <row r="15" spans="1:13" ht="15" customHeight="1" x14ac:dyDescent="0.25">
      <c r="A15" s="90" t="s">
        <v>430</v>
      </c>
      <c r="B15" s="45" t="s">
        <v>51</v>
      </c>
      <c r="C15" s="53" t="s">
        <v>1024</v>
      </c>
      <c r="E15" s="3"/>
      <c r="F15" s="3"/>
      <c r="H15" s="52"/>
      <c r="L15" s="52"/>
      <c r="M15" s="52"/>
    </row>
    <row r="16" spans="1:13" ht="15" customHeight="1" x14ac:dyDescent="0.25">
      <c r="A16" s="90" t="s">
        <v>431</v>
      </c>
      <c r="B16" s="45" t="s">
        <v>186</v>
      </c>
      <c r="C16" s="53" t="s">
        <v>1056</v>
      </c>
      <c r="E16" s="3"/>
      <c r="F16" s="3"/>
      <c r="H16" s="52"/>
      <c r="L16" s="52"/>
      <c r="M16" s="52"/>
    </row>
    <row r="17" spans="1:13" ht="15" customHeight="1" x14ac:dyDescent="0.25">
      <c r="A17" s="90" t="s">
        <v>432</v>
      </c>
      <c r="B17" s="45" t="s">
        <v>230</v>
      </c>
      <c r="C17" s="53" t="s">
        <v>1121</v>
      </c>
      <c r="E17" s="3"/>
      <c r="F17" s="3"/>
      <c r="H17" s="52"/>
      <c r="L17" s="52"/>
      <c r="M17" s="52"/>
    </row>
    <row r="18" spans="1:13" ht="99.75" customHeight="1" outlineLevel="1" x14ac:dyDescent="0.25">
      <c r="A18" s="90" t="s">
        <v>433</v>
      </c>
      <c r="B18" s="91" t="s">
        <v>1275</v>
      </c>
      <c r="C18" s="90" t="s">
        <v>1322</v>
      </c>
      <c r="D18" s="90"/>
      <c r="E18" s="3"/>
      <c r="F18" s="3"/>
      <c r="H18" s="52"/>
      <c r="L18" s="52"/>
      <c r="M18" s="52"/>
    </row>
    <row r="19" spans="1:13" ht="15" customHeight="1" outlineLevel="1" x14ac:dyDescent="0.25">
      <c r="A19" s="90" t="s">
        <v>434</v>
      </c>
      <c r="B19" s="91" t="s">
        <v>1268</v>
      </c>
      <c r="C19" s="90" t="s">
        <v>1267</v>
      </c>
      <c r="E19" s="3"/>
      <c r="F19" s="3"/>
      <c r="H19" s="52"/>
      <c r="L19" s="52"/>
      <c r="M19" s="52"/>
    </row>
    <row r="20" spans="1:13" ht="15" customHeight="1" outlineLevel="1" x14ac:dyDescent="0.25">
      <c r="A20" s="90" t="s">
        <v>435</v>
      </c>
      <c r="B20" s="91" t="s">
        <v>1269</v>
      </c>
      <c r="C20" s="90" t="s">
        <v>1270</v>
      </c>
      <c r="E20" s="3"/>
      <c r="F20" s="3"/>
      <c r="H20" s="52"/>
      <c r="L20" s="52"/>
      <c r="M20" s="52"/>
    </row>
    <row r="21" spans="1:13" ht="15" customHeight="1" outlineLevel="1" x14ac:dyDescent="0.25">
      <c r="A21" s="90" t="s">
        <v>436</v>
      </c>
      <c r="B21" s="91" t="s">
        <v>1272</v>
      </c>
      <c r="C21" s="90" t="s">
        <v>1271</v>
      </c>
      <c r="E21" s="3"/>
      <c r="F21" s="3"/>
      <c r="H21" s="52"/>
      <c r="L21" s="52"/>
      <c r="M21" s="52"/>
    </row>
    <row r="22" spans="1:13" ht="15" customHeight="1" outlineLevel="1" x14ac:dyDescent="0.25">
      <c r="A22" s="90" t="s">
        <v>437</v>
      </c>
      <c r="B22" s="91" t="s">
        <v>1274</v>
      </c>
      <c r="C22" s="90" t="s">
        <v>1273</v>
      </c>
      <c r="E22" s="3"/>
      <c r="F22" s="3"/>
      <c r="H22" s="52"/>
      <c r="L22" s="52"/>
      <c r="M22" s="52"/>
    </row>
    <row r="23" spans="1:13" ht="15" customHeight="1" outlineLevel="1" x14ac:dyDescent="0.25">
      <c r="A23" s="90" t="s">
        <v>438</v>
      </c>
      <c r="B23" s="91"/>
      <c r="C23" s="90"/>
      <c r="E23" s="3"/>
      <c r="F23" s="3"/>
      <c r="H23" s="52"/>
      <c r="L23" s="52"/>
      <c r="M23" s="52"/>
    </row>
    <row r="24" spans="1:13" ht="15" customHeight="1" outlineLevel="1" x14ac:dyDescent="0.25">
      <c r="A24" s="90" t="s">
        <v>439</v>
      </c>
      <c r="B24" s="49"/>
      <c r="E24" s="3"/>
      <c r="F24" s="3"/>
      <c r="H24" s="52"/>
      <c r="L24" s="52"/>
      <c r="M24" s="52"/>
    </row>
    <row r="25" spans="1:13" ht="15" customHeight="1" outlineLevel="1" x14ac:dyDescent="0.25">
      <c r="A25" s="90" t="s">
        <v>440</v>
      </c>
      <c r="B25" s="49"/>
      <c r="E25" s="3"/>
      <c r="F25" s="3"/>
      <c r="H25" s="52"/>
      <c r="L25" s="52"/>
      <c r="M25" s="52"/>
    </row>
    <row r="26" spans="1:13" ht="18.75" customHeight="1" x14ac:dyDescent="0.25">
      <c r="A26" s="15"/>
      <c r="B26" s="18" t="s">
        <v>58</v>
      </c>
      <c r="C26" s="15"/>
      <c r="D26" s="15"/>
      <c r="E26" s="15"/>
      <c r="F26" s="15"/>
      <c r="G26" s="16"/>
      <c r="H26" s="52"/>
      <c r="L26" s="52"/>
      <c r="M26" s="52"/>
    </row>
    <row r="27" spans="1:13" ht="15" customHeight="1" x14ac:dyDescent="0.25">
      <c r="A27" s="53" t="s">
        <v>441</v>
      </c>
      <c r="B27" s="64" t="s">
        <v>181</v>
      </c>
      <c r="C27" s="90" t="s">
        <v>1261</v>
      </c>
      <c r="D27" s="54"/>
      <c r="E27" s="54"/>
      <c r="F27" s="54"/>
      <c r="H27" s="52"/>
      <c r="L27" s="52"/>
      <c r="M27" s="52"/>
    </row>
    <row r="28" spans="1:13" ht="15" customHeight="1" x14ac:dyDescent="0.25">
      <c r="A28" s="90" t="s">
        <v>442</v>
      </c>
      <c r="B28" s="64" t="s">
        <v>182</v>
      </c>
      <c r="C28" s="90" t="s">
        <v>1261</v>
      </c>
      <c r="D28" s="54"/>
      <c r="E28" s="54"/>
      <c r="F28" s="54"/>
      <c r="H28" s="52"/>
      <c r="L28" s="52"/>
      <c r="M28" s="52"/>
    </row>
    <row r="29" spans="1:13" ht="15" customHeight="1" x14ac:dyDescent="0.25">
      <c r="A29" s="90" t="s">
        <v>443</v>
      </c>
      <c r="B29" s="64" t="s">
        <v>37</v>
      </c>
      <c r="C29" s="90" t="s">
        <v>184</v>
      </c>
      <c r="E29" s="54"/>
      <c r="F29" s="54"/>
      <c r="H29" s="52"/>
      <c r="L29" s="52"/>
      <c r="M29" s="52"/>
    </row>
    <row r="30" spans="1:13" ht="15" customHeight="1" outlineLevel="1" x14ac:dyDescent="0.25">
      <c r="A30" s="90" t="s">
        <v>444</v>
      </c>
      <c r="B30" s="91" t="s">
        <v>1276</v>
      </c>
      <c r="C30" s="53">
        <v>2</v>
      </c>
      <c r="E30" s="54"/>
      <c r="F30" s="54"/>
      <c r="H30" s="52"/>
      <c r="L30" s="52"/>
      <c r="M30" s="52"/>
    </row>
    <row r="31" spans="1:13" ht="15" customHeight="1" outlineLevel="1" x14ac:dyDescent="0.25">
      <c r="A31" s="90" t="s">
        <v>445</v>
      </c>
      <c r="B31" s="91" t="s">
        <v>1277</v>
      </c>
      <c r="C31" s="53" t="s">
        <v>1279</v>
      </c>
      <c r="E31" s="54"/>
      <c r="F31" s="54"/>
      <c r="H31" s="52"/>
      <c r="L31" s="52"/>
      <c r="M31" s="52"/>
    </row>
    <row r="32" spans="1:13" ht="15" customHeight="1" outlineLevel="1" x14ac:dyDescent="0.25">
      <c r="A32" s="90" t="s">
        <v>446</v>
      </c>
      <c r="B32" s="91" t="s">
        <v>1278</v>
      </c>
      <c r="C32" s="53" t="s">
        <v>1280</v>
      </c>
      <c r="E32" s="54"/>
      <c r="F32" s="54"/>
      <c r="H32" s="52"/>
      <c r="L32" s="52"/>
      <c r="M32" s="52"/>
    </row>
    <row r="33" spans="1:13" ht="15" customHeight="1" outlineLevel="1" x14ac:dyDescent="0.25">
      <c r="A33" s="90" t="s">
        <v>447</v>
      </c>
      <c r="B33" s="64"/>
      <c r="E33" s="54"/>
      <c r="F33" s="54"/>
      <c r="H33" s="52"/>
      <c r="L33" s="52"/>
      <c r="M33" s="52"/>
    </row>
    <row r="34" spans="1:13" ht="15" customHeight="1" outlineLevel="1" x14ac:dyDescent="0.25">
      <c r="A34" s="90" t="s">
        <v>448</v>
      </c>
      <c r="B34" s="64"/>
      <c r="E34" s="54"/>
      <c r="F34" s="54"/>
      <c r="H34" s="52"/>
      <c r="L34" s="52"/>
      <c r="M34" s="52"/>
    </row>
    <row r="35" spans="1:13" ht="15" customHeight="1" outlineLevel="1" x14ac:dyDescent="0.25">
      <c r="A35" s="90" t="s">
        <v>449</v>
      </c>
      <c r="B35" s="12"/>
      <c r="E35" s="54"/>
      <c r="F35" s="54"/>
      <c r="H35" s="52"/>
      <c r="L35" s="52"/>
      <c r="M35" s="52"/>
    </row>
    <row r="36" spans="1:13" ht="18.75" customHeight="1" x14ac:dyDescent="0.25">
      <c r="A36" s="18"/>
      <c r="B36" s="18" t="s">
        <v>59</v>
      </c>
      <c r="C36" s="18"/>
      <c r="D36" s="15"/>
      <c r="E36" s="15"/>
      <c r="F36" s="15"/>
      <c r="G36" s="16"/>
      <c r="H36" s="52"/>
      <c r="L36" s="52"/>
      <c r="M36" s="52"/>
    </row>
    <row r="37" spans="1:13" ht="15" customHeight="1" x14ac:dyDescent="0.25">
      <c r="A37" s="58"/>
      <c r="B37" s="60" t="s">
        <v>676</v>
      </c>
      <c r="C37" s="58" t="s">
        <v>81</v>
      </c>
      <c r="D37" s="58"/>
      <c r="E37" s="46"/>
      <c r="F37" s="59"/>
      <c r="G37" s="59"/>
      <c r="H37" s="52"/>
      <c r="L37" s="52"/>
      <c r="M37" s="52"/>
    </row>
    <row r="38" spans="1:13" ht="15" customHeight="1" x14ac:dyDescent="0.25">
      <c r="A38" s="53" t="s">
        <v>450</v>
      </c>
      <c r="B38" s="54" t="s">
        <v>131</v>
      </c>
      <c r="C38" s="113">
        <v>7647214489.2399998</v>
      </c>
      <c r="F38" s="54"/>
      <c r="H38" s="122"/>
      <c r="I38" s="113"/>
      <c r="L38" s="52"/>
      <c r="M38" s="52"/>
    </row>
    <row r="39" spans="1:13" ht="15" customHeight="1" x14ac:dyDescent="0.25">
      <c r="A39" s="90" t="s">
        <v>451</v>
      </c>
      <c r="B39" s="54" t="s">
        <v>132</v>
      </c>
      <c r="C39" s="113">
        <v>5182316600</v>
      </c>
      <c r="F39" s="54"/>
      <c r="H39" s="122"/>
      <c r="J39" s="124"/>
      <c r="L39" s="52"/>
      <c r="M39" s="52"/>
    </row>
    <row r="40" spans="1:13" ht="15" customHeight="1" outlineLevel="1" x14ac:dyDescent="0.25">
      <c r="A40" s="90" t="s">
        <v>452</v>
      </c>
      <c r="B40" s="71" t="s">
        <v>231</v>
      </c>
      <c r="C40" s="113" t="s">
        <v>183</v>
      </c>
      <c r="F40" s="54"/>
      <c r="H40" s="52"/>
      <c r="L40" s="52"/>
      <c r="M40" s="52"/>
    </row>
    <row r="41" spans="1:13" ht="15" customHeight="1" outlineLevel="1" x14ac:dyDescent="0.25">
      <c r="A41" s="90" t="s">
        <v>453</v>
      </c>
      <c r="B41" s="71" t="s">
        <v>232</v>
      </c>
      <c r="C41" s="113" t="s">
        <v>183</v>
      </c>
      <c r="F41" s="54"/>
      <c r="H41" s="52"/>
      <c r="L41" s="52"/>
      <c r="M41" s="52"/>
    </row>
    <row r="42" spans="1:13" ht="15" customHeight="1" outlineLevel="1" x14ac:dyDescent="0.25">
      <c r="A42" s="90" t="s">
        <v>454</v>
      </c>
      <c r="B42" s="176" t="s">
        <v>1323</v>
      </c>
      <c r="C42" s="113">
        <f>C216</f>
        <v>52444280.649999999</v>
      </c>
      <c r="D42" s="90" t="s">
        <v>1324</v>
      </c>
      <c r="F42" s="54"/>
      <c r="H42" s="52"/>
      <c r="L42" s="52"/>
      <c r="M42" s="52"/>
    </row>
    <row r="43" spans="1:13" ht="15" customHeight="1" outlineLevel="1" x14ac:dyDescent="0.25">
      <c r="A43" s="90" t="s">
        <v>455</v>
      </c>
      <c r="B43" s="54"/>
      <c r="C43" s="113"/>
      <c r="F43" s="54"/>
      <c r="H43" s="52"/>
      <c r="L43" s="52"/>
      <c r="M43" s="52"/>
    </row>
    <row r="44" spans="1:13" ht="15" customHeight="1" x14ac:dyDescent="0.25">
      <c r="A44" s="58"/>
      <c r="B44" s="60" t="s">
        <v>677</v>
      </c>
      <c r="C44" s="143" t="s">
        <v>1262</v>
      </c>
      <c r="D44" s="58" t="s">
        <v>26</v>
      </c>
      <c r="E44" s="46"/>
      <c r="F44" s="59" t="s">
        <v>128</v>
      </c>
      <c r="G44" s="59" t="s">
        <v>158</v>
      </c>
      <c r="H44" s="52"/>
      <c r="L44" s="52"/>
      <c r="M44" s="52"/>
    </row>
    <row r="45" spans="1:13" ht="15" customHeight="1" x14ac:dyDescent="0.25">
      <c r="A45" s="90" t="s">
        <v>456</v>
      </c>
      <c r="B45" s="90" t="s">
        <v>233</v>
      </c>
      <c r="C45" s="47">
        <v>0.1</v>
      </c>
      <c r="D45" s="47">
        <f>C38/C39-1</f>
        <v>0.47563629926430973</v>
      </c>
      <c r="E45" s="90"/>
      <c r="F45" s="47" t="s">
        <v>184</v>
      </c>
      <c r="G45" s="47" t="s">
        <v>184</v>
      </c>
      <c r="H45" s="122"/>
      <c r="L45" s="52"/>
      <c r="M45" s="52"/>
    </row>
    <row r="46" spans="1:13" ht="15" hidden="1" customHeight="1" outlineLevel="1" x14ac:dyDescent="0.25">
      <c r="A46" s="90" t="s">
        <v>457</v>
      </c>
      <c r="B46" s="90" t="s">
        <v>215</v>
      </c>
      <c r="C46" s="90"/>
      <c r="D46" s="90"/>
      <c r="E46" s="90"/>
      <c r="F46" s="90"/>
      <c r="G46" s="90"/>
      <c r="H46" s="52"/>
      <c r="L46" s="52"/>
      <c r="M46" s="52"/>
    </row>
    <row r="47" spans="1:13" ht="15" hidden="1" customHeight="1" outlineLevel="1" x14ac:dyDescent="0.25">
      <c r="A47" s="90" t="s">
        <v>458</v>
      </c>
      <c r="B47" s="49" t="s">
        <v>216</v>
      </c>
      <c r="D47" s="90"/>
      <c r="E47" s="90"/>
      <c r="F47" s="90"/>
      <c r="G47" s="90"/>
      <c r="H47" s="52"/>
      <c r="L47" s="52"/>
      <c r="M47" s="52"/>
    </row>
    <row r="48" spans="1:13" ht="15" hidden="1" customHeight="1" outlineLevel="1" x14ac:dyDescent="0.25">
      <c r="A48" s="90" t="s">
        <v>459</v>
      </c>
      <c r="B48" s="91"/>
      <c r="D48" s="90"/>
      <c r="E48" s="90"/>
      <c r="F48" s="90"/>
      <c r="G48" s="90"/>
      <c r="H48" s="52"/>
      <c r="L48" s="52"/>
      <c r="M48" s="52"/>
    </row>
    <row r="49" spans="1:14" ht="15" hidden="1" customHeight="1" outlineLevel="1" x14ac:dyDescent="0.25">
      <c r="A49" s="90" t="s">
        <v>460</v>
      </c>
      <c r="B49" s="49"/>
      <c r="G49" s="53"/>
      <c r="H49" s="52"/>
      <c r="L49" s="52"/>
      <c r="M49" s="52"/>
    </row>
    <row r="50" spans="1:14" ht="15" hidden="1" customHeight="1" outlineLevel="1" x14ac:dyDescent="0.25">
      <c r="A50" s="90" t="s">
        <v>461</v>
      </c>
      <c r="B50" s="49"/>
      <c r="G50" s="53"/>
      <c r="H50" s="52"/>
      <c r="L50" s="52"/>
      <c r="M50" s="52"/>
    </row>
    <row r="51" spans="1:14" ht="15" hidden="1" customHeight="1" outlineLevel="1" x14ac:dyDescent="0.25">
      <c r="A51" s="90" t="s">
        <v>462</v>
      </c>
      <c r="B51" s="49"/>
      <c r="G51" s="53"/>
      <c r="H51" s="52"/>
      <c r="L51" s="52"/>
      <c r="M51" s="52"/>
    </row>
    <row r="52" spans="1:14" ht="15" customHeight="1" collapsed="1" x14ac:dyDescent="0.25">
      <c r="A52" s="58"/>
      <c r="B52" s="60" t="s">
        <v>678</v>
      </c>
      <c r="C52" s="58" t="s">
        <v>81</v>
      </c>
      <c r="D52" s="58"/>
      <c r="E52" s="46"/>
      <c r="F52" s="59" t="s">
        <v>144</v>
      </c>
      <c r="G52" s="59"/>
      <c r="H52" s="52"/>
      <c r="L52" s="52"/>
      <c r="M52" s="52"/>
    </row>
    <row r="53" spans="1:14" s="116" customFormat="1" ht="15" customHeight="1" x14ac:dyDescent="0.25">
      <c r="A53" s="113" t="s">
        <v>463</v>
      </c>
      <c r="B53" s="114" t="s">
        <v>31</v>
      </c>
      <c r="C53" s="113">
        <v>7589658769.8900003</v>
      </c>
      <c r="D53" s="113"/>
      <c r="E53" s="114"/>
      <c r="F53" s="47">
        <f>IF($C$58=0,"",IF(C53="[for completion]","",C53/$C$58))</f>
        <v>0.99247363606304173</v>
      </c>
      <c r="G53" s="47"/>
      <c r="H53" s="123"/>
      <c r="I53" s="113"/>
      <c r="J53" s="121"/>
      <c r="K53" s="113"/>
      <c r="L53" s="115"/>
      <c r="M53" s="115"/>
      <c r="N53" s="115"/>
    </row>
    <row r="54" spans="1:14" s="116" customFormat="1" ht="15" customHeight="1" x14ac:dyDescent="0.25">
      <c r="A54" s="113" t="s">
        <v>464</v>
      </c>
      <c r="B54" s="114" t="s">
        <v>180</v>
      </c>
      <c r="C54" s="113">
        <v>0</v>
      </c>
      <c r="D54" s="113"/>
      <c r="E54" s="114"/>
      <c r="F54" s="47">
        <f>IF($C$58=0,"",IF(C54="[for completion]","",C54/$C$58))</f>
        <v>0</v>
      </c>
      <c r="G54" s="47"/>
      <c r="H54" s="115"/>
      <c r="I54" s="113"/>
      <c r="J54" s="113"/>
      <c r="K54" s="113"/>
      <c r="L54" s="115"/>
      <c r="M54" s="115"/>
      <c r="N54" s="115"/>
    </row>
    <row r="55" spans="1:14" s="116" customFormat="1" ht="15" customHeight="1" x14ac:dyDescent="0.25">
      <c r="A55" s="113" t="s">
        <v>465</v>
      </c>
      <c r="B55" s="114" t="s">
        <v>154</v>
      </c>
      <c r="C55" s="113">
        <v>0</v>
      </c>
      <c r="D55" s="113"/>
      <c r="E55" s="114"/>
      <c r="F55" s="47">
        <f>IF($C$58=0,"",IF(C55="[for completion]","",C55/$C$58))</f>
        <v>0</v>
      </c>
      <c r="G55" s="47"/>
      <c r="H55" s="115"/>
      <c r="I55" s="113"/>
      <c r="J55" s="113"/>
      <c r="K55" s="113"/>
      <c r="L55" s="115"/>
      <c r="M55" s="115"/>
      <c r="N55" s="115"/>
    </row>
    <row r="56" spans="1:14" s="116" customFormat="1" ht="15" customHeight="1" x14ac:dyDescent="0.25">
      <c r="A56" s="113" t="s">
        <v>466</v>
      </c>
      <c r="B56" s="114" t="s">
        <v>52</v>
      </c>
      <c r="C56" s="113">
        <v>57555719.350000001</v>
      </c>
      <c r="D56" s="113"/>
      <c r="E56" s="114"/>
      <c r="F56" s="47">
        <f>IF($C$58=0,"",IF(C56="[for completion]","",C56/$C$58))</f>
        <v>7.5263639369581789E-3</v>
      </c>
      <c r="G56" s="47"/>
      <c r="H56" s="123"/>
      <c r="I56" s="113"/>
      <c r="J56" s="121"/>
      <c r="K56" s="113"/>
      <c r="L56" s="115"/>
      <c r="M56" s="115"/>
      <c r="N56" s="115"/>
    </row>
    <row r="57" spans="1:14" s="116" customFormat="1" ht="15" customHeight="1" x14ac:dyDescent="0.25">
      <c r="A57" s="113" t="s">
        <v>467</v>
      </c>
      <c r="B57" s="113" t="s">
        <v>2</v>
      </c>
      <c r="C57" s="113">
        <v>0</v>
      </c>
      <c r="D57" s="113"/>
      <c r="E57" s="114"/>
      <c r="F57" s="47">
        <f>IF($C$58=0,"",IF(C57="[for completion]","",C57/$C$58))</f>
        <v>0</v>
      </c>
      <c r="G57" s="47"/>
      <c r="H57" s="115"/>
      <c r="I57" s="113"/>
      <c r="J57" s="113"/>
      <c r="K57" s="113"/>
      <c r="L57" s="115"/>
      <c r="M57" s="115"/>
      <c r="N57" s="115"/>
    </row>
    <row r="58" spans="1:14" ht="15" customHeight="1" x14ac:dyDescent="0.25">
      <c r="A58" s="90" t="s">
        <v>468</v>
      </c>
      <c r="B58" s="56" t="s">
        <v>1</v>
      </c>
      <c r="C58" s="113">
        <f>SUM(C53:C57)</f>
        <v>7647214489.2400007</v>
      </c>
      <c r="D58" s="55"/>
      <c r="E58" s="55"/>
      <c r="F58" s="47">
        <f>SUM(F53:F57)</f>
        <v>0.99999999999999989</v>
      </c>
      <c r="G58" s="47"/>
      <c r="H58" s="122"/>
      <c r="I58" s="113"/>
      <c r="L58" s="52"/>
      <c r="M58" s="52"/>
    </row>
    <row r="59" spans="1:14" ht="15" hidden="1" customHeight="1" outlineLevel="1" x14ac:dyDescent="0.25">
      <c r="A59" s="90" t="s">
        <v>1058</v>
      </c>
      <c r="B59" s="67" t="s">
        <v>153</v>
      </c>
      <c r="C59" s="113"/>
      <c r="D59" s="90"/>
      <c r="E59" s="55"/>
      <c r="F59" s="47" t="str">
        <f t="shared" ref="F59:F64" si="0">IF($C$58=0,"",IF(C59="","",C59/$C$58))</f>
        <v/>
      </c>
      <c r="G59" s="47"/>
      <c r="H59" s="52"/>
      <c r="I59" s="90"/>
      <c r="J59" s="90"/>
      <c r="K59" s="90"/>
      <c r="L59" s="52"/>
      <c r="M59" s="52"/>
    </row>
    <row r="60" spans="1:14" ht="15" hidden="1" customHeight="1" outlineLevel="1" x14ac:dyDescent="0.25">
      <c r="A60" s="90" t="s">
        <v>1059</v>
      </c>
      <c r="B60" s="67" t="s">
        <v>153</v>
      </c>
      <c r="C60" s="113"/>
      <c r="D60" s="90"/>
      <c r="E60" s="55"/>
      <c r="F60" s="47" t="str">
        <f t="shared" si="0"/>
        <v/>
      </c>
      <c r="G60" s="47"/>
      <c r="H60" s="52"/>
      <c r="I60" s="90"/>
      <c r="J60" s="90"/>
      <c r="K60" s="90"/>
      <c r="L60" s="52"/>
      <c r="M60" s="52"/>
    </row>
    <row r="61" spans="1:14" ht="15" hidden="1" customHeight="1" outlineLevel="1" x14ac:dyDescent="0.25">
      <c r="A61" s="90" t="s">
        <v>1060</v>
      </c>
      <c r="B61" s="67" t="s">
        <v>153</v>
      </c>
      <c r="C61" s="113"/>
      <c r="D61" s="90"/>
      <c r="E61" s="55"/>
      <c r="F61" s="47" t="str">
        <f t="shared" si="0"/>
        <v/>
      </c>
      <c r="G61" s="47"/>
      <c r="H61" s="52"/>
      <c r="I61" s="90"/>
      <c r="J61" s="90"/>
      <c r="K61" s="90"/>
      <c r="L61" s="52"/>
      <c r="M61" s="52"/>
    </row>
    <row r="62" spans="1:14" ht="15" hidden="1" customHeight="1" outlineLevel="1" x14ac:dyDescent="0.25">
      <c r="A62" s="90" t="s">
        <v>1061</v>
      </c>
      <c r="B62" s="67" t="s">
        <v>153</v>
      </c>
      <c r="C62" s="113"/>
      <c r="D62" s="90"/>
      <c r="E62" s="55"/>
      <c r="F62" s="47" t="str">
        <f t="shared" si="0"/>
        <v/>
      </c>
      <c r="G62" s="47"/>
      <c r="H62" s="52"/>
      <c r="I62" s="90"/>
      <c r="J62" s="90"/>
      <c r="K62" s="90"/>
      <c r="L62" s="52"/>
      <c r="M62" s="52"/>
    </row>
    <row r="63" spans="1:14" ht="15" hidden="1" customHeight="1" outlineLevel="1" x14ac:dyDescent="0.25">
      <c r="A63" s="90" t="s">
        <v>1062</v>
      </c>
      <c r="B63" s="67" t="s">
        <v>153</v>
      </c>
      <c r="C63" s="113"/>
      <c r="D63" s="90"/>
      <c r="E63" s="55"/>
      <c r="F63" s="47" t="str">
        <f t="shared" si="0"/>
        <v/>
      </c>
      <c r="G63" s="47"/>
      <c r="H63" s="52"/>
      <c r="I63" s="90"/>
      <c r="J63" s="90"/>
      <c r="K63" s="90"/>
      <c r="L63" s="52"/>
      <c r="M63" s="52"/>
    </row>
    <row r="64" spans="1:14" ht="15" hidden="1" customHeight="1" outlineLevel="1" x14ac:dyDescent="0.25">
      <c r="A64" s="90" t="s">
        <v>1063</v>
      </c>
      <c r="B64" s="67" t="s">
        <v>153</v>
      </c>
      <c r="C64" s="113"/>
      <c r="D64" s="51"/>
      <c r="E64" s="51"/>
      <c r="F64" s="47" t="str">
        <f t="shared" si="0"/>
        <v/>
      </c>
      <c r="G64" s="48"/>
      <c r="H64" s="52"/>
      <c r="I64" s="90"/>
      <c r="J64" s="90"/>
      <c r="K64" s="90"/>
      <c r="L64" s="52"/>
      <c r="M64" s="52"/>
    </row>
    <row r="65" spans="1:13" ht="23.25" customHeight="1" collapsed="1" x14ac:dyDescent="0.25">
      <c r="A65" s="58"/>
      <c r="B65" s="60" t="s">
        <v>679</v>
      </c>
      <c r="C65" s="58" t="s">
        <v>1018</v>
      </c>
      <c r="D65" s="58" t="s">
        <v>1019</v>
      </c>
      <c r="E65" s="46"/>
      <c r="F65" s="59" t="s">
        <v>1020</v>
      </c>
      <c r="G65" s="109" t="s">
        <v>1021</v>
      </c>
      <c r="H65" s="52"/>
      <c r="L65" s="52"/>
      <c r="M65" s="52"/>
    </row>
    <row r="66" spans="1:13" ht="15" customHeight="1" x14ac:dyDescent="0.25">
      <c r="A66" s="90" t="s">
        <v>469</v>
      </c>
      <c r="B66" s="54" t="s">
        <v>80</v>
      </c>
      <c r="C66" s="119">
        <v>16.950244826382242</v>
      </c>
      <c r="D66" s="113" t="s">
        <v>183</v>
      </c>
      <c r="E66" s="45"/>
      <c r="F66" s="47"/>
      <c r="G66" s="47"/>
      <c r="H66" s="52"/>
      <c r="L66" s="52"/>
      <c r="M66" s="52"/>
    </row>
    <row r="67" spans="1:13" ht="15" customHeight="1" x14ac:dyDescent="0.25">
      <c r="B67" s="54"/>
      <c r="C67" s="113"/>
      <c r="D67" s="113"/>
      <c r="E67" s="45"/>
      <c r="F67" s="47"/>
      <c r="G67" s="47"/>
      <c r="H67" s="52"/>
      <c r="L67" s="52"/>
      <c r="M67" s="52"/>
    </row>
    <row r="68" spans="1:13" ht="15" customHeight="1" x14ac:dyDescent="0.25">
      <c r="B68" s="54" t="s">
        <v>77</v>
      </c>
      <c r="C68" s="113"/>
      <c r="D68" s="113"/>
      <c r="E68" s="45"/>
      <c r="F68" s="47"/>
      <c r="G68" s="47"/>
      <c r="H68" s="52"/>
      <c r="L68" s="52"/>
      <c r="M68" s="52"/>
    </row>
    <row r="69" spans="1:13" ht="15" customHeight="1" x14ac:dyDescent="0.25">
      <c r="A69" s="90" t="s">
        <v>470</v>
      </c>
      <c r="B69" s="7" t="s">
        <v>11</v>
      </c>
      <c r="C69" s="113">
        <v>361921716.24000001</v>
      </c>
      <c r="D69" s="113" t="s">
        <v>183</v>
      </c>
      <c r="E69" s="7"/>
      <c r="F69" s="47">
        <f t="shared" ref="F69:F75" si="1">IF($C$76=0,"",IF(C69="[for completion]","",C69/$C$76))</f>
        <v>4.7334867940597686E-2</v>
      </c>
      <c r="G69" s="47" t="str">
        <f t="shared" ref="G69:G81" si="2">IF($D$76=0,"",IF(D69="ND1","",D69/$D$76))</f>
        <v/>
      </c>
      <c r="H69" s="52"/>
      <c r="L69" s="52"/>
      <c r="M69" s="52"/>
    </row>
    <row r="70" spans="1:13" ht="15" customHeight="1" x14ac:dyDescent="0.25">
      <c r="A70" s="90" t="s">
        <v>471</v>
      </c>
      <c r="B70" s="7" t="s">
        <v>5</v>
      </c>
      <c r="C70" s="113">
        <v>420320310.51999998</v>
      </c>
      <c r="D70" s="113" t="s">
        <v>183</v>
      </c>
      <c r="E70" s="7"/>
      <c r="F70" s="47">
        <f t="shared" si="1"/>
        <v>5.4972679169165324E-2</v>
      </c>
      <c r="G70" s="47" t="str">
        <f t="shared" si="2"/>
        <v/>
      </c>
      <c r="H70" s="52"/>
      <c r="L70" s="52"/>
      <c r="M70" s="52"/>
    </row>
    <row r="71" spans="1:13" ht="15" customHeight="1" x14ac:dyDescent="0.25">
      <c r="A71" s="90" t="s">
        <v>472</v>
      </c>
      <c r="B71" s="7" t="s">
        <v>6</v>
      </c>
      <c r="C71" s="113">
        <v>545079479.07000005</v>
      </c>
      <c r="D71" s="113" t="s">
        <v>183</v>
      </c>
      <c r="E71" s="7"/>
      <c r="F71" s="47">
        <f t="shared" si="1"/>
        <v>7.1289629776729729E-2</v>
      </c>
      <c r="G71" s="47" t="str">
        <f t="shared" si="2"/>
        <v/>
      </c>
      <c r="H71" s="125"/>
      <c r="L71" s="52"/>
      <c r="M71" s="52"/>
    </row>
    <row r="72" spans="1:13" ht="15" customHeight="1" x14ac:dyDescent="0.25">
      <c r="A72" s="90" t="s">
        <v>473</v>
      </c>
      <c r="B72" s="7" t="s">
        <v>7</v>
      </c>
      <c r="C72" s="113">
        <v>575399111.58000004</v>
      </c>
      <c r="D72" s="113" t="s">
        <v>183</v>
      </c>
      <c r="E72" s="7"/>
      <c r="F72" s="47">
        <f t="shared" si="1"/>
        <v>7.5255061350657723E-2</v>
      </c>
      <c r="G72" s="47" t="str">
        <f t="shared" si="2"/>
        <v/>
      </c>
      <c r="H72" s="125"/>
      <c r="L72" s="52"/>
      <c r="M72" s="52"/>
    </row>
    <row r="73" spans="1:13" ht="15" customHeight="1" x14ac:dyDescent="0.25">
      <c r="A73" s="90" t="s">
        <v>474</v>
      </c>
      <c r="B73" s="7" t="s">
        <v>8</v>
      </c>
      <c r="C73" s="113">
        <v>348108939.07999998</v>
      </c>
      <c r="D73" s="113" t="s">
        <v>183</v>
      </c>
      <c r="E73" s="7"/>
      <c r="F73" s="47">
        <f t="shared" si="1"/>
        <v>4.5528328146428675E-2</v>
      </c>
      <c r="G73" s="47" t="str">
        <f t="shared" si="2"/>
        <v/>
      </c>
      <c r="H73" s="125"/>
      <c r="L73" s="52"/>
      <c r="M73" s="52"/>
    </row>
    <row r="74" spans="1:13" ht="15" customHeight="1" x14ac:dyDescent="0.25">
      <c r="A74" s="90" t="s">
        <v>475</v>
      </c>
      <c r="B74" s="7" t="s">
        <v>9</v>
      </c>
      <c r="C74" s="113">
        <v>2121186195.3199999</v>
      </c>
      <c r="D74" s="113" t="s">
        <v>183</v>
      </c>
      <c r="E74" s="7"/>
      <c r="F74" s="47">
        <f t="shared" si="1"/>
        <v>0.27742482400892765</v>
      </c>
      <c r="G74" s="47" t="str">
        <f t="shared" si="2"/>
        <v/>
      </c>
      <c r="H74" s="125"/>
      <c r="L74" s="52"/>
      <c r="M74" s="52"/>
    </row>
    <row r="75" spans="1:13" ht="15" customHeight="1" x14ac:dyDescent="0.25">
      <c r="A75" s="90" t="s">
        <v>476</v>
      </c>
      <c r="B75" s="7" t="s">
        <v>10</v>
      </c>
      <c r="C75" s="113">
        <v>3273969797.2399998</v>
      </c>
      <c r="D75" s="113" t="s">
        <v>183</v>
      </c>
      <c r="E75" s="7"/>
      <c r="F75" s="47">
        <f t="shared" si="1"/>
        <v>0.42819460960749328</v>
      </c>
      <c r="G75" s="47" t="str">
        <f t="shared" si="2"/>
        <v/>
      </c>
      <c r="H75" s="125"/>
      <c r="L75" s="52"/>
      <c r="M75" s="52"/>
    </row>
    <row r="76" spans="1:13" ht="15" customHeight="1" x14ac:dyDescent="0.25">
      <c r="A76" s="90" t="s">
        <v>477</v>
      </c>
      <c r="B76" s="8" t="s">
        <v>1</v>
      </c>
      <c r="C76" s="113">
        <f>SUM(C69:C75)</f>
        <v>7645985549.0499992</v>
      </c>
      <c r="D76" s="113" t="s">
        <v>183</v>
      </c>
      <c r="E76" s="54"/>
      <c r="F76" s="47">
        <f>SUM(F69:F75)</f>
        <v>1</v>
      </c>
      <c r="G76" s="47" t="str">
        <f t="shared" si="2"/>
        <v/>
      </c>
      <c r="H76" s="125"/>
      <c r="L76" s="52"/>
      <c r="M76" s="52"/>
    </row>
    <row r="77" spans="1:13" ht="15" customHeight="1" outlineLevel="1" x14ac:dyDescent="0.25">
      <c r="A77" s="90" t="s">
        <v>478</v>
      </c>
      <c r="B77" s="65" t="s">
        <v>39</v>
      </c>
      <c r="C77" s="113">
        <v>0</v>
      </c>
      <c r="D77" s="113" t="s">
        <v>183</v>
      </c>
      <c r="E77" s="54"/>
      <c r="F77" s="47">
        <f>IF($C$76=0,"",IF(C77="[for completion]","",C77/$C$76))</f>
        <v>0</v>
      </c>
      <c r="G77" s="47" t="str">
        <f t="shared" si="2"/>
        <v/>
      </c>
      <c r="H77" s="125"/>
      <c r="L77" s="52"/>
      <c r="M77" s="52"/>
    </row>
    <row r="78" spans="1:13" ht="15" customHeight="1" outlineLevel="1" x14ac:dyDescent="0.25">
      <c r="A78" s="90" t="s">
        <v>479</v>
      </c>
      <c r="B78" s="65" t="s">
        <v>40</v>
      </c>
      <c r="C78" s="113">
        <v>176266213.16</v>
      </c>
      <c r="D78" s="113" t="s">
        <v>183</v>
      </c>
      <c r="E78" s="54"/>
      <c r="F78" s="47">
        <f>IF($C$76=0,"",IF(C78="[for completion]","",C78/$C$76))</f>
        <v>2.3053432684279763E-2</v>
      </c>
      <c r="G78" s="47" t="str">
        <f t="shared" si="2"/>
        <v/>
      </c>
      <c r="H78" s="125"/>
      <c r="L78" s="52"/>
      <c r="M78" s="52"/>
    </row>
    <row r="79" spans="1:13" ht="15" customHeight="1" outlineLevel="1" x14ac:dyDescent="0.25">
      <c r="A79" s="90" t="s">
        <v>480</v>
      </c>
      <c r="B79" s="65" t="s">
        <v>41</v>
      </c>
      <c r="C79" s="113">
        <v>185655503.08000001</v>
      </c>
      <c r="D79" s="113" t="s">
        <v>183</v>
      </c>
      <c r="E79" s="54"/>
      <c r="F79" s="47">
        <f>IF($C$76=0,"",IF(C79="[for completion]","",C79/$C$76))</f>
        <v>2.4281435256317926E-2</v>
      </c>
      <c r="G79" s="47" t="str">
        <f t="shared" si="2"/>
        <v/>
      </c>
      <c r="H79" s="125"/>
      <c r="L79" s="52"/>
      <c r="M79" s="52"/>
    </row>
    <row r="80" spans="1:13" ht="15" customHeight="1" outlineLevel="1" x14ac:dyDescent="0.25">
      <c r="A80" s="90" t="s">
        <v>481</v>
      </c>
      <c r="B80" s="65" t="s">
        <v>43</v>
      </c>
      <c r="C80" s="113">
        <v>202894941.52000001</v>
      </c>
      <c r="D80" s="113" t="s">
        <v>183</v>
      </c>
      <c r="E80" s="54"/>
      <c r="F80" s="47">
        <f>IF($C$76=0,"",IF(C80="[for completion]","",C80/$C$76))</f>
        <v>2.653613981067612E-2</v>
      </c>
      <c r="G80" s="47" t="str">
        <f t="shared" si="2"/>
        <v/>
      </c>
      <c r="H80" s="125"/>
      <c r="L80" s="52"/>
      <c r="M80" s="52"/>
    </row>
    <row r="81" spans="1:13" ht="15" customHeight="1" outlineLevel="1" x14ac:dyDescent="0.25">
      <c r="A81" s="90" t="s">
        <v>482</v>
      </c>
      <c r="B81" s="65" t="s">
        <v>44</v>
      </c>
      <c r="C81" s="113">
        <v>217425369</v>
      </c>
      <c r="D81" s="113" t="s">
        <v>183</v>
      </c>
      <c r="E81" s="54"/>
      <c r="F81" s="47">
        <f>IF($C$76=0,"",IF(C81="[for completion]","",C81/$C$76))</f>
        <v>2.8436539358489204E-2</v>
      </c>
      <c r="G81" s="47" t="str">
        <f t="shared" si="2"/>
        <v/>
      </c>
      <c r="H81" s="125"/>
      <c r="L81" s="52"/>
      <c r="M81" s="52"/>
    </row>
    <row r="82" spans="1:13" ht="15" customHeight="1" outlineLevel="1" x14ac:dyDescent="0.25">
      <c r="A82" s="90" t="s">
        <v>483</v>
      </c>
      <c r="B82" s="65"/>
      <c r="C82" s="113"/>
      <c r="D82" s="113"/>
      <c r="E82" s="54"/>
      <c r="F82" s="47"/>
      <c r="G82" s="47" t="str">
        <f>IF($D$76=0,"",IF(D82="","",D82/$D$76))</f>
        <v/>
      </c>
      <c r="H82" s="52"/>
      <c r="L82" s="52"/>
      <c r="M82" s="52"/>
    </row>
    <row r="83" spans="1:13" ht="15" customHeight="1" outlineLevel="1" x14ac:dyDescent="0.25">
      <c r="A83" s="90" t="s">
        <v>484</v>
      </c>
      <c r="B83" s="65"/>
      <c r="C83" s="113"/>
      <c r="D83" s="113"/>
      <c r="E83" s="54"/>
      <c r="F83" s="47"/>
      <c r="G83" s="47" t="str">
        <f>IF($D$76=0,"",IF(D83="","",D83/$D$76))</f>
        <v/>
      </c>
      <c r="H83" s="52"/>
      <c r="L83" s="52"/>
      <c r="M83" s="52"/>
    </row>
    <row r="84" spans="1:13" ht="15" customHeight="1" outlineLevel="1" x14ac:dyDescent="0.25">
      <c r="A84" s="90" t="s">
        <v>485</v>
      </c>
      <c r="B84" s="65"/>
      <c r="C84" s="113"/>
      <c r="D84" s="113"/>
      <c r="E84" s="54"/>
      <c r="F84" s="47"/>
      <c r="G84" s="47" t="str">
        <f>IF($D$76=0,"",IF(D84="","",D84/$D$76))</f>
        <v/>
      </c>
      <c r="H84" s="52"/>
      <c r="L84" s="52"/>
      <c r="M84" s="52"/>
    </row>
    <row r="85" spans="1:13" ht="15" customHeight="1" x14ac:dyDescent="0.25">
      <c r="A85" s="58"/>
      <c r="B85" s="60" t="s">
        <v>680</v>
      </c>
      <c r="C85" s="58" t="s">
        <v>1264</v>
      </c>
      <c r="D85" s="58" t="s">
        <v>1265</v>
      </c>
      <c r="E85" s="46"/>
      <c r="F85" s="59" t="s">
        <v>1022</v>
      </c>
      <c r="G85" s="58" t="s">
        <v>1017</v>
      </c>
      <c r="H85" s="52"/>
      <c r="L85" s="52"/>
      <c r="M85" s="52"/>
    </row>
    <row r="86" spans="1:13" ht="15" customHeight="1" x14ac:dyDescent="0.25">
      <c r="A86" s="90" t="s">
        <v>486</v>
      </c>
      <c r="B86" s="54" t="s">
        <v>80</v>
      </c>
      <c r="C86" s="119">
        <v>3.8</v>
      </c>
      <c r="D86" s="119">
        <v>4.8</v>
      </c>
      <c r="E86" s="45"/>
      <c r="F86" s="47"/>
      <c r="G86" s="47"/>
      <c r="H86" s="122"/>
      <c r="I86" s="90"/>
      <c r="L86" s="52"/>
      <c r="M86" s="52"/>
    </row>
    <row r="87" spans="1:13" ht="15" customHeight="1" x14ac:dyDescent="0.25">
      <c r="B87" s="54"/>
      <c r="C87" s="113"/>
      <c r="D87" s="113"/>
      <c r="E87" s="45"/>
      <c r="F87" s="47"/>
      <c r="G87" s="47"/>
      <c r="H87" s="52"/>
      <c r="L87" s="52"/>
      <c r="M87" s="52"/>
    </row>
    <row r="88" spans="1:13" ht="15" customHeight="1" x14ac:dyDescent="0.25">
      <c r="A88" s="90"/>
      <c r="B88" s="86" t="s">
        <v>1263</v>
      </c>
      <c r="C88" s="113"/>
      <c r="D88" s="113"/>
      <c r="E88" s="45"/>
      <c r="F88" s="47"/>
      <c r="G88" s="47"/>
      <c r="H88" s="52"/>
      <c r="I88" s="90"/>
      <c r="J88" s="90"/>
      <c r="K88" s="90"/>
      <c r="L88" s="52"/>
      <c r="M88" s="52"/>
    </row>
    <row r="89" spans="1:13" ht="15" customHeight="1" x14ac:dyDescent="0.25">
      <c r="A89" s="90" t="s">
        <v>487</v>
      </c>
      <c r="B89" s="54" t="s">
        <v>77</v>
      </c>
      <c r="C89" s="113"/>
      <c r="D89" s="113"/>
      <c r="E89" s="45"/>
      <c r="F89" s="47"/>
      <c r="G89" s="47"/>
      <c r="H89" s="52"/>
      <c r="L89" s="52"/>
      <c r="M89" s="52"/>
    </row>
    <row r="90" spans="1:13" ht="15" customHeight="1" x14ac:dyDescent="0.25">
      <c r="A90" s="90" t="s">
        <v>488</v>
      </c>
      <c r="B90" s="7" t="s">
        <v>11</v>
      </c>
      <c r="C90" s="113">
        <v>273963750</v>
      </c>
      <c r="D90" s="113">
        <v>0</v>
      </c>
      <c r="E90" s="7"/>
      <c r="F90" s="47">
        <f t="shared" ref="F90:F96" si="3">IF($C$97=0,"",IF(C90="[for completion]","",C90/$C$97))</f>
        <v>5.2865112486566335E-2</v>
      </c>
      <c r="G90" s="47">
        <f t="shared" ref="G90:G96" si="4">IF($D$97=0,"",IF(D90="[Mark as ND1 if not relevant]","",D90/$D$97))</f>
        <v>0</v>
      </c>
      <c r="H90" s="122"/>
      <c r="J90" s="121"/>
      <c r="L90" s="52"/>
      <c r="M90" s="52"/>
    </row>
    <row r="91" spans="1:13" ht="15" customHeight="1" x14ac:dyDescent="0.25">
      <c r="A91" s="90" t="s">
        <v>489</v>
      </c>
      <c r="B91" s="7" t="s">
        <v>5</v>
      </c>
      <c r="C91" s="113">
        <v>775855000</v>
      </c>
      <c r="D91" s="113">
        <v>273963750</v>
      </c>
      <c r="E91" s="7"/>
      <c r="F91" s="47">
        <f t="shared" si="3"/>
        <v>0.14971200331527409</v>
      </c>
      <c r="G91" s="47">
        <f t="shared" si="4"/>
        <v>5.2865112486566335E-2</v>
      </c>
      <c r="H91" s="122"/>
      <c r="J91" s="121"/>
      <c r="L91" s="52"/>
      <c r="M91" s="52"/>
    </row>
    <row r="92" spans="1:13" ht="15" customHeight="1" x14ac:dyDescent="0.25">
      <c r="A92" s="90" t="s">
        <v>490</v>
      </c>
      <c r="B92" s="7" t="s">
        <v>6</v>
      </c>
      <c r="C92" s="113">
        <v>1168505000</v>
      </c>
      <c r="D92" s="113">
        <v>775855000</v>
      </c>
      <c r="E92" s="7"/>
      <c r="F92" s="47">
        <f t="shared" si="3"/>
        <v>0.22547927697045758</v>
      </c>
      <c r="G92" s="47">
        <f t="shared" si="4"/>
        <v>0.14971200331527409</v>
      </c>
      <c r="H92" s="122"/>
      <c r="J92" s="121"/>
      <c r="L92" s="52"/>
      <c r="M92" s="52"/>
    </row>
    <row r="93" spans="1:13" ht="15" customHeight="1" x14ac:dyDescent="0.25">
      <c r="A93" s="90" t="s">
        <v>491</v>
      </c>
      <c r="B93" s="7" t="s">
        <v>7</v>
      </c>
      <c r="C93" s="113">
        <v>1138120000</v>
      </c>
      <c r="D93" s="113">
        <v>1168505000</v>
      </c>
      <c r="E93" s="7"/>
      <c r="F93" s="47">
        <f t="shared" si="3"/>
        <v>0.21961606899894923</v>
      </c>
      <c r="G93" s="47">
        <f t="shared" si="4"/>
        <v>0.22547927697045758</v>
      </c>
      <c r="H93" s="122"/>
      <c r="J93" s="121"/>
      <c r="L93" s="52"/>
      <c r="M93" s="52"/>
    </row>
    <row r="94" spans="1:13" ht="15" customHeight="1" x14ac:dyDescent="0.25">
      <c r="A94" s="90" t="s">
        <v>492</v>
      </c>
      <c r="B94" s="7" t="s">
        <v>8</v>
      </c>
      <c r="C94" s="113">
        <v>539530000</v>
      </c>
      <c r="D94" s="113">
        <v>1138120000</v>
      </c>
      <c r="E94" s="7"/>
      <c r="F94" s="47">
        <f t="shared" si="3"/>
        <v>0.10410981065880846</v>
      </c>
      <c r="G94" s="47">
        <f t="shared" si="4"/>
        <v>0.21961606899894923</v>
      </c>
      <c r="H94" s="122"/>
      <c r="J94" s="121"/>
      <c r="L94" s="52"/>
      <c r="M94" s="52"/>
    </row>
    <row r="95" spans="1:13" ht="15" customHeight="1" x14ac:dyDescent="0.25">
      <c r="A95" s="90" t="s">
        <v>493</v>
      </c>
      <c r="B95" s="7" t="s">
        <v>9</v>
      </c>
      <c r="C95" s="113">
        <v>1104603350</v>
      </c>
      <c r="D95" s="113">
        <v>1441261350</v>
      </c>
      <c r="E95" s="7"/>
      <c r="F95" s="47">
        <f t="shared" si="3"/>
        <v>0.21314856564340356</v>
      </c>
      <c r="G95" s="47">
        <f t="shared" si="4"/>
        <v>0.27811140484932934</v>
      </c>
      <c r="H95" s="122"/>
      <c r="J95" s="121"/>
      <c r="L95" s="52"/>
      <c r="M95" s="52"/>
    </row>
    <row r="96" spans="1:13" ht="15" customHeight="1" x14ac:dyDescent="0.25">
      <c r="A96" s="90" t="s">
        <v>494</v>
      </c>
      <c r="B96" s="7" t="s">
        <v>10</v>
      </c>
      <c r="C96" s="113">
        <v>181739500</v>
      </c>
      <c r="D96" s="113">
        <v>384611500</v>
      </c>
      <c r="E96" s="7"/>
      <c r="F96" s="47">
        <f t="shared" si="3"/>
        <v>3.5069161926540728E-2</v>
      </c>
      <c r="G96" s="47">
        <f t="shared" si="4"/>
        <v>7.4216133379423399E-2</v>
      </c>
      <c r="H96" s="122"/>
      <c r="J96" s="121"/>
      <c r="L96" s="52"/>
      <c r="M96" s="52"/>
    </row>
    <row r="97" spans="1:14" ht="15" customHeight="1" x14ac:dyDescent="0.25">
      <c r="A97" s="90" t="s">
        <v>495</v>
      </c>
      <c r="B97" s="8" t="s">
        <v>1</v>
      </c>
      <c r="C97" s="113">
        <f>SUM(C90:C96)</f>
        <v>5182316600</v>
      </c>
      <c r="D97" s="113">
        <f>SUM(D90:D96)</f>
        <v>5182316600</v>
      </c>
      <c r="E97" s="54"/>
      <c r="F97" s="47">
        <f>SUM(F90:F96)</f>
        <v>1</v>
      </c>
      <c r="G97" s="47">
        <f>SUM(G90:G96)</f>
        <v>1</v>
      </c>
      <c r="H97" s="122"/>
      <c r="L97" s="52"/>
      <c r="M97" s="52"/>
    </row>
    <row r="98" spans="1:14" ht="15" customHeight="1" outlineLevel="1" x14ac:dyDescent="0.25">
      <c r="A98" s="90" t="s">
        <v>496</v>
      </c>
      <c r="B98" s="65" t="s">
        <v>39</v>
      </c>
      <c r="C98" s="113">
        <v>0</v>
      </c>
      <c r="D98" s="113">
        <v>0</v>
      </c>
      <c r="E98" s="54"/>
      <c r="F98" s="47">
        <f>IF($C$97=0,"",IF(C98="[for completion]","",C98/$C$97))</f>
        <v>0</v>
      </c>
      <c r="G98" s="47">
        <f>IF($D$97=0,"",IF(D98="[for completion]","",D98/$D$97))</f>
        <v>0</v>
      </c>
      <c r="H98" s="122"/>
      <c r="L98" s="52"/>
      <c r="M98" s="52"/>
    </row>
    <row r="99" spans="1:14" ht="15" customHeight="1" outlineLevel="1" x14ac:dyDescent="0.25">
      <c r="A99" s="90" t="s">
        <v>497</v>
      </c>
      <c r="B99" s="65" t="s">
        <v>40</v>
      </c>
      <c r="C99" s="113">
        <v>42265000</v>
      </c>
      <c r="D99" s="113">
        <v>0</v>
      </c>
      <c r="E99" s="54"/>
      <c r="F99" s="47">
        <f>IF($C$97=0,"",IF(C99="[for completion]","",C99/$C$97))</f>
        <v>8.1556190526838896E-3</v>
      </c>
      <c r="G99" s="47">
        <f>IF($D$97=0,"",IF(D99="[for completion]","",D99/$D$97))</f>
        <v>0</v>
      </c>
      <c r="H99" s="122"/>
      <c r="L99" s="52"/>
      <c r="M99" s="52"/>
    </row>
    <row r="100" spans="1:14" ht="15" customHeight="1" outlineLevel="1" x14ac:dyDescent="0.25">
      <c r="A100" s="90" t="s">
        <v>498</v>
      </c>
      <c r="B100" s="65" t="s">
        <v>41</v>
      </c>
      <c r="C100" s="113">
        <v>231698750</v>
      </c>
      <c r="D100" s="113">
        <v>0</v>
      </c>
      <c r="E100" s="54"/>
      <c r="F100" s="47">
        <f>IF($C$97=0,"",IF(C100="[for completion]","",C100/$C$97))</f>
        <v>4.4709493433882447E-2</v>
      </c>
      <c r="G100" s="47">
        <f>IF($D$97=0,"",IF(D100="[for completion]","",D100/$D$97))</f>
        <v>0</v>
      </c>
      <c r="H100" s="122"/>
      <c r="L100" s="52"/>
      <c r="M100" s="52"/>
    </row>
    <row r="101" spans="1:14" ht="15" customHeight="1" outlineLevel="1" x14ac:dyDescent="0.25">
      <c r="A101" s="90" t="s">
        <v>499</v>
      </c>
      <c r="B101" s="65" t="s">
        <v>43</v>
      </c>
      <c r="C101" s="113">
        <v>695855000</v>
      </c>
      <c r="D101" s="113">
        <v>42265000</v>
      </c>
      <c r="E101" s="54"/>
      <c r="F101" s="47">
        <f>IF($C$97=0,"",IF(C101="[for completion]","",C101/$C$97))</f>
        <v>0.13427489165752629</v>
      </c>
      <c r="G101" s="47">
        <f>IF($D$97=0,"",IF(D101="[for completion]","",D101/$D$97))</f>
        <v>8.1556190526838896E-3</v>
      </c>
      <c r="H101" s="122"/>
      <c r="L101" s="52"/>
      <c r="M101" s="52"/>
    </row>
    <row r="102" spans="1:14" ht="15" customHeight="1" outlineLevel="1" x14ac:dyDescent="0.25">
      <c r="A102" s="90" t="s">
        <v>500</v>
      </c>
      <c r="B102" s="65" t="s">
        <v>44</v>
      </c>
      <c r="C102" s="113">
        <v>80000000</v>
      </c>
      <c r="D102" s="113">
        <v>231698750</v>
      </c>
      <c r="E102" s="54"/>
      <c r="F102" s="47">
        <f>IF($C$97=0,"",IF(C102="[for completion]","",C102/$C$97))</f>
        <v>1.5437111657747811E-2</v>
      </c>
      <c r="G102" s="47">
        <f>IF($D$97=0,"",IF(D102="[for completion]","",D102/$D$97))</f>
        <v>4.4709493433882447E-2</v>
      </c>
      <c r="H102" s="122"/>
      <c r="I102" s="90"/>
      <c r="J102" s="90"/>
      <c r="L102" s="52"/>
      <c r="M102" s="52"/>
    </row>
    <row r="103" spans="1:14" ht="15" customHeight="1" outlineLevel="1" x14ac:dyDescent="0.25">
      <c r="A103" s="90" t="s">
        <v>501</v>
      </c>
      <c r="B103" s="65"/>
      <c r="C103" s="113"/>
      <c r="D103" s="113"/>
      <c r="E103" s="54"/>
      <c r="F103" s="47"/>
      <c r="G103" s="47"/>
      <c r="H103" s="122"/>
      <c r="I103" s="90"/>
      <c r="J103" s="90"/>
      <c r="L103" s="52"/>
      <c r="M103" s="52"/>
    </row>
    <row r="104" spans="1:14" ht="15" customHeight="1" outlineLevel="1" x14ac:dyDescent="0.25">
      <c r="A104" s="90" t="s">
        <v>502</v>
      </c>
      <c r="B104" s="65"/>
      <c r="C104" s="113"/>
      <c r="D104" s="113"/>
      <c r="E104" s="54"/>
      <c r="F104" s="47"/>
      <c r="G104" s="47"/>
      <c r="H104" s="122"/>
      <c r="I104" s="90"/>
      <c r="J104" s="90"/>
      <c r="L104" s="52"/>
      <c r="M104" s="52"/>
    </row>
    <row r="105" spans="1:14" ht="15" customHeight="1" x14ac:dyDescent="0.25">
      <c r="A105" s="58"/>
      <c r="B105" s="60" t="s">
        <v>681</v>
      </c>
      <c r="C105" s="59" t="s">
        <v>82</v>
      </c>
      <c r="D105" s="59" t="s">
        <v>83</v>
      </c>
      <c r="E105" s="46"/>
      <c r="F105" s="59" t="s">
        <v>84</v>
      </c>
      <c r="G105" s="59" t="s">
        <v>85</v>
      </c>
      <c r="H105" s="122"/>
      <c r="I105" s="90"/>
      <c r="J105" s="90"/>
      <c r="L105" s="52"/>
      <c r="M105" s="52"/>
    </row>
    <row r="106" spans="1:14" s="1" customFormat="1" ht="15" customHeight="1" x14ac:dyDescent="0.25">
      <c r="A106" s="90" t="s">
        <v>503</v>
      </c>
      <c r="B106" s="54" t="s">
        <v>54</v>
      </c>
      <c r="C106" s="113">
        <v>2873548507.0900002</v>
      </c>
      <c r="D106" s="113">
        <f>C106 - 0</f>
        <v>2873548507.0900002</v>
      </c>
      <c r="E106" s="47"/>
      <c r="F106" s="47">
        <f>IF($C$121=0,"",IF(C106="[for completion]","",C106/$C$121))</f>
        <v>0.37576407869388784</v>
      </c>
      <c r="G106" s="47">
        <f t="shared" ref="G106:G120" si="5">IF($D$121=0,"",IF(D106="ND1","",D106/$D$121))</f>
        <v>0.37576407869388784</v>
      </c>
      <c r="H106" s="122"/>
      <c r="I106" s="90"/>
      <c r="J106" s="90"/>
      <c r="K106" s="53"/>
      <c r="L106" s="52"/>
      <c r="M106" s="52"/>
      <c r="N106" s="52"/>
    </row>
    <row r="107" spans="1:14" s="1" customFormat="1" ht="15" customHeight="1" x14ac:dyDescent="0.25">
      <c r="A107" s="90" t="s">
        <v>504</v>
      </c>
      <c r="B107" s="54" t="s">
        <v>22</v>
      </c>
      <c r="C107" s="113">
        <v>55701795.049999997</v>
      </c>
      <c r="D107" s="113">
        <f>C107 - 0</f>
        <v>55701795.049999997</v>
      </c>
      <c r="E107" s="47"/>
      <c r="F107" s="47">
        <f>IF($C$121=0,"",IF(C107="[for completion]","",C107/$C$121))</f>
        <v>7.2839326174296091E-3</v>
      </c>
      <c r="G107" s="47">
        <f t="shared" si="5"/>
        <v>7.2839326174296091E-3</v>
      </c>
      <c r="H107" s="122"/>
      <c r="I107" s="90"/>
      <c r="J107" s="90"/>
      <c r="K107" s="53"/>
      <c r="L107" s="52"/>
      <c r="M107" s="52"/>
      <c r="N107" s="52"/>
    </row>
    <row r="108" spans="1:14" s="1" customFormat="1" ht="15" customHeight="1" x14ac:dyDescent="0.25">
      <c r="A108" s="90" t="s">
        <v>505</v>
      </c>
      <c r="B108" s="54" t="s">
        <v>1052</v>
      </c>
      <c r="C108" s="113">
        <v>4717964187.0100002</v>
      </c>
      <c r="D108" s="113">
        <f>C108 - 0</f>
        <v>4717964187.0100002</v>
      </c>
      <c r="E108" s="47"/>
      <c r="F108" s="47">
        <f>IF($C$121=0,"",IF(C108="[for completion]","",C108/$C$121))</f>
        <v>0.61695198868868251</v>
      </c>
      <c r="G108" s="47">
        <f t="shared" si="5"/>
        <v>0.61695198868868251</v>
      </c>
      <c r="H108" s="122"/>
      <c r="I108" s="90"/>
      <c r="J108" s="90"/>
      <c r="K108" s="53"/>
      <c r="L108" s="52"/>
      <c r="M108" s="52"/>
      <c r="N108" s="52"/>
    </row>
    <row r="109" spans="1:14" s="1" customFormat="1" ht="15" customHeight="1" x14ac:dyDescent="0.25">
      <c r="A109" s="90" t="s">
        <v>506</v>
      </c>
      <c r="B109" s="86" t="s">
        <v>1016</v>
      </c>
      <c r="C109" s="113" t="s">
        <v>183</v>
      </c>
      <c r="D109" s="113" t="s">
        <v>183</v>
      </c>
      <c r="E109" s="47"/>
      <c r="F109" s="47" t="str">
        <f t="shared" ref="F109:F120" si="6">IF($C$121=0,"",IF(C109="ND1","",C109/$C$121))</f>
        <v/>
      </c>
      <c r="G109" s="47" t="str">
        <f t="shared" si="5"/>
        <v/>
      </c>
      <c r="H109" s="122"/>
      <c r="I109" s="90"/>
      <c r="J109" s="90"/>
      <c r="K109" s="53"/>
      <c r="L109" s="52"/>
      <c r="M109" s="52"/>
      <c r="N109" s="52"/>
    </row>
    <row r="110" spans="1:14" s="1" customFormat="1" ht="15" customHeight="1" x14ac:dyDescent="0.25">
      <c r="A110" s="90" t="s">
        <v>507</v>
      </c>
      <c r="B110" s="54" t="s">
        <v>23</v>
      </c>
      <c r="C110" s="113" t="s">
        <v>183</v>
      </c>
      <c r="D110" s="113" t="s">
        <v>183</v>
      </c>
      <c r="E110" s="47"/>
      <c r="F110" s="47" t="str">
        <f t="shared" si="6"/>
        <v/>
      </c>
      <c r="G110" s="47" t="str">
        <f t="shared" si="5"/>
        <v/>
      </c>
      <c r="H110" s="122"/>
      <c r="I110" s="90"/>
      <c r="J110" s="90"/>
      <c r="K110" s="53"/>
      <c r="L110" s="52"/>
      <c r="M110" s="52"/>
      <c r="N110" s="52"/>
    </row>
    <row r="111" spans="1:14" s="1" customFormat="1" ht="15" customHeight="1" x14ac:dyDescent="0.25">
      <c r="A111" s="90" t="s">
        <v>508</v>
      </c>
      <c r="B111" s="54" t="s">
        <v>24</v>
      </c>
      <c r="C111" s="113" t="s">
        <v>183</v>
      </c>
      <c r="D111" s="113" t="s">
        <v>183</v>
      </c>
      <c r="E111" s="54"/>
      <c r="F111" s="47" t="str">
        <f t="shared" si="6"/>
        <v/>
      </c>
      <c r="G111" s="47" t="str">
        <f t="shared" si="5"/>
        <v/>
      </c>
      <c r="H111" s="122"/>
      <c r="I111" s="90"/>
      <c r="J111" s="90"/>
      <c r="K111" s="53"/>
      <c r="L111" s="52"/>
      <c r="M111" s="52"/>
      <c r="N111" s="52"/>
    </row>
    <row r="112" spans="1:14" ht="15" customHeight="1" x14ac:dyDescent="0.25">
      <c r="A112" s="90" t="s">
        <v>509</v>
      </c>
      <c r="B112" s="54" t="s">
        <v>25</v>
      </c>
      <c r="C112" s="113" t="s">
        <v>183</v>
      </c>
      <c r="D112" s="113" t="s">
        <v>183</v>
      </c>
      <c r="E112" s="54"/>
      <c r="F112" s="47" t="str">
        <f t="shared" si="6"/>
        <v/>
      </c>
      <c r="G112" s="47" t="str">
        <f t="shared" si="5"/>
        <v/>
      </c>
      <c r="H112" s="122"/>
      <c r="I112" s="90"/>
      <c r="J112" s="90"/>
      <c r="L112" s="52"/>
      <c r="M112" s="52"/>
    </row>
    <row r="113" spans="1:13" ht="15" customHeight="1" x14ac:dyDescent="0.25">
      <c r="A113" s="90" t="s">
        <v>510</v>
      </c>
      <c r="B113" s="54" t="s">
        <v>134</v>
      </c>
      <c r="C113" s="113" t="s">
        <v>183</v>
      </c>
      <c r="D113" s="113" t="s">
        <v>183</v>
      </c>
      <c r="E113" s="54"/>
      <c r="F113" s="47" t="str">
        <f t="shared" si="6"/>
        <v/>
      </c>
      <c r="G113" s="47" t="str">
        <f t="shared" si="5"/>
        <v/>
      </c>
      <c r="H113" s="122"/>
      <c r="I113" s="90"/>
      <c r="J113" s="90"/>
      <c r="L113" s="52"/>
      <c r="M113" s="52"/>
    </row>
    <row r="114" spans="1:13" ht="15" customHeight="1" x14ac:dyDescent="0.25">
      <c r="A114" s="90" t="s">
        <v>511</v>
      </c>
      <c r="B114" s="54" t="s">
        <v>78</v>
      </c>
      <c r="C114" s="113" t="s">
        <v>183</v>
      </c>
      <c r="D114" s="113" t="s">
        <v>183</v>
      </c>
      <c r="E114" s="54"/>
      <c r="F114" s="47" t="str">
        <f t="shared" si="6"/>
        <v/>
      </c>
      <c r="G114" s="47" t="str">
        <f t="shared" si="5"/>
        <v/>
      </c>
      <c r="H114" s="52"/>
      <c r="L114" s="52"/>
      <c r="M114" s="52"/>
    </row>
    <row r="115" spans="1:13" ht="15" customHeight="1" x14ac:dyDescent="0.25">
      <c r="A115" s="90" t="s">
        <v>512</v>
      </c>
      <c r="B115" s="54" t="s">
        <v>75</v>
      </c>
      <c r="C115" s="113" t="s">
        <v>183</v>
      </c>
      <c r="D115" s="113" t="s">
        <v>183</v>
      </c>
      <c r="E115" s="54"/>
      <c r="F115" s="47" t="str">
        <f t="shared" si="6"/>
        <v/>
      </c>
      <c r="G115" s="47" t="str">
        <f t="shared" si="5"/>
        <v/>
      </c>
      <c r="H115" s="52"/>
      <c r="L115" s="52"/>
      <c r="M115" s="52"/>
    </row>
    <row r="116" spans="1:13" ht="15" customHeight="1" x14ac:dyDescent="0.25">
      <c r="A116" s="90" t="s">
        <v>513</v>
      </c>
      <c r="B116" s="54" t="s">
        <v>79</v>
      </c>
      <c r="C116" s="113" t="s">
        <v>183</v>
      </c>
      <c r="D116" s="113" t="s">
        <v>183</v>
      </c>
      <c r="E116" s="54"/>
      <c r="F116" s="47" t="str">
        <f t="shared" si="6"/>
        <v/>
      </c>
      <c r="G116" s="47" t="str">
        <f t="shared" si="5"/>
        <v/>
      </c>
      <c r="H116" s="52"/>
      <c r="L116" s="52"/>
      <c r="M116" s="52"/>
    </row>
    <row r="117" spans="1:13" ht="15" customHeight="1" x14ac:dyDescent="0.25">
      <c r="A117" s="90" t="s">
        <v>514</v>
      </c>
      <c r="B117" s="54" t="s">
        <v>133</v>
      </c>
      <c r="C117" s="113" t="s">
        <v>183</v>
      </c>
      <c r="D117" s="113" t="s">
        <v>183</v>
      </c>
      <c r="E117" s="54"/>
      <c r="F117" s="47" t="str">
        <f t="shared" si="6"/>
        <v/>
      </c>
      <c r="G117" s="47" t="str">
        <f t="shared" si="5"/>
        <v/>
      </c>
      <c r="H117" s="52"/>
      <c r="L117" s="52"/>
      <c r="M117" s="52"/>
    </row>
    <row r="118" spans="1:13" ht="15" customHeight="1" x14ac:dyDescent="0.25">
      <c r="A118" s="90" t="s">
        <v>515</v>
      </c>
      <c r="B118" s="54" t="s">
        <v>38</v>
      </c>
      <c r="C118" s="113" t="s">
        <v>183</v>
      </c>
      <c r="D118" s="113" t="s">
        <v>183</v>
      </c>
      <c r="E118" s="54"/>
      <c r="F118" s="47" t="str">
        <f t="shared" si="6"/>
        <v/>
      </c>
      <c r="G118" s="47" t="str">
        <f t="shared" si="5"/>
        <v/>
      </c>
      <c r="H118" s="52"/>
      <c r="L118" s="52"/>
      <c r="M118" s="52"/>
    </row>
    <row r="119" spans="1:13" ht="15" customHeight="1" x14ac:dyDescent="0.25">
      <c r="A119" s="90" t="s">
        <v>516</v>
      </c>
      <c r="B119" s="54" t="s">
        <v>76</v>
      </c>
      <c r="C119" s="113" t="s">
        <v>183</v>
      </c>
      <c r="D119" s="113" t="s">
        <v>183</v>
      </c>
      <c r="E119" s="54"/>
      <c r="F119" s="47" t="str">
        <f t="shared" si="6"/>
        <v/>
      </c>
      <c r="G119" s="47" t="str">
        <f t="shared" si="5"/>
        <v/>
      </c>
      <c r="H119" s="52"/>
      <c r="L119" s="52"/>
      <c r="M119" s="52"/>
    </row>
    <row r="120" spans="1:13" ht="15" customHeight="1" x14ac:dyDescent="0.25">
      <c r="A120" s="90" t="s">
        <v>517</v>
      </c>
      <c r="B120" s="54" t="s">
        <v>2</v>
      </c>
      <c r="C120" s="113" t="s">
        <v>183</v>
      </c>
      <c r="D120" s="113" t="s">
        <v>183</v>
      </c>
      <c r="E120" s="54"/>
      <c r="F120" s="47" t="str">
        <f t="shared" si="6"/>
        <v/>
      </c>
      <c r="G120" s="47" t="str">
        <f t="shared" si="5"/>
        <v/>
      </c>
      <c r="H120" s="52"/>
      <c r="L120" s="52"/>
      <c r="M120" s="52"/>
    </row>
    <row r="121" spans="1:13" ht="15" customHeight="1" x14ac:dyDescent="0.25">
      <c r="A121" s="90" t="s">
        <v>518</v>
      </c>
      <c r="B121" s="8" t="s">
        <v>1</v>
      </c>
      <c r="C121" s="113">
        <f>SUM(C106:C120)</f>
        <v>7647214489.1500006</v>
      </c>
      <c r="D121" s="113">
        <f>SUM(D106:D120)</f>
        <v>7647214489.1500006</v>
      </c>
      <c r="E121" s="54"/>
      <c r="F121" s="47">
        <f>SUM(F106:F120)</f>
        <v>1</v>
      </c>
      <c r="G121" s="47">
        <f>SUM(G106:G120)</f>
        <v>1</v>
      </c>
      <c r="H121" s="52"/>
      <c r="L121" s="52"/>
      <c r="M121" s="52"/>
    </row>
    <row r="122" spans="1:13" ht="15" hidden="1" customHeight="1" outlineLevel="1" x14ac:dyDescent="0.25">
      <c r="A122" s="90" t="s">
        <v>1064</v>
      </c>
      <c r="B122" s="67" t="s">
        <v>153</v>
      </c>
      <c r="C122" s="113"/>
      <c r="D122" s="113"/>
      <c r="E122" s="86"/>
      <c r="F122" s="47" t="str">
        <f t="shared" ref="F122:F130" si="7">IF($C$121=0,"",IF(C122="","",C122/$C$121))</f>
        <v/>
      </c>
      <c r="G122" s="47" t="str">
        <f t="shared" ref="G122:G130" si="8">IF($D$121=0,"",IF(D122="","",D122/$D$121))</f>
        <v/>
      </c>
      <c r="H122" s="52"/>
      <c r="I122" s="90"/>
      <c r="J122" s="90"/>
      <c r="K122" s="90"/>
      <c r="L122" s="52"/>
      <c r="M122" s="52"/>
    </row>
    <row r="123" spans="1:13" ht="15" hidden="1" customHeight="1" outlineLevel="1" x14ac:dyDescent="0.25">
      <c r="A123" s="90" t="s">
        <v>1065</v>
      </c>
      <c r="B123" s="67" t="s">
        <v>153</v>
      </c>
      <c r="C123" s="113"/>
      <c r="D123" s="113"/>
      <c r="E123" s="86"/>
      <c r="F123" s="47" t="str">
        <f t="shared" si="7"/>
        <v/>
      </c>
      <c r="G123" s="47" t="str">
        <f t="shared" si="8"/>
        <v/>
      </c>
      <c r="H123" s="52"/>
      <c r="I123" s="90"/>
      <c r="J123" s="90"/>
      <c r="K123" s="90"/>
      <c r="L123" s="52"/>
      <c r="M123" s="52"/>
    </row>
    <row r="124" spans="1:13" ht="15" hidden="1" customHeight="1" outlineLevel="1" x14ac:dyDescent="0.25">
      <c r="A124" s="90" t="s">
        <v>1066</v>
      </c>
      <c r="B124" s="67" t="s">
        <v>153</v>
      </c>
      <c r="C124" s="113"/>
      <c r="D124" s="113"/>
      <c r="E124" s="86"/>
      <c r="F124" s="47" t="str">
        <f t="shared" si="7"/>
        <v/>
      </c>
      <c r="G124" s="47" t="str">
        <f t="shared" si="8"/>
        <v/>
      </c>
      <c r="H124" s="52"/>
      <c r="I124" s="90"/>
      <c r="J124" s="90"/>
      <c r="K124" s="90"/>
      <c r="L124" s="52"/>
      <c r="M124" s="52"/>
    </row>
    <row r="125" spans="1:13" ht="15" hidden="1" customHeight="1" outlineLevel="1" x14ac:dyDescent="0.25">
      <c r="A125" s="90" t="s">
        <v>1067</v>
      </c>
      <c r="B125" s="67" t="s">
        <v>153</v>
      </c>
      <c r="C125" s="113"/>
      <c r="D125" s="113"/>
      <c r="E125" s="86"/>
      <c r="F125" s="47" t="str">
        <f t="shared" si="7"/>
        <v/>
      </c>
      <c r="G125" s="47" t="str">
        <f t="shared" si="8"/>
        <v/>
      </c>
      <c r="H125" s="52"/>
      <c r="I125" s="90"/>
      <c r="J125" s="90"/>
      <c r="K125" s="90"/>
      <c r="L125" s="52"/>
      <c r="M125" s="52"/>
    </row>
    <row r="126" spans="1:13" ht="15" hidden="1" customHeight="1" outlineLevel="1" x14ac:dyDescent="0.25">
      <c r="A126" s="90" t="s">
        <v>1068</v>
      </c>
      <c r="B126" s="67" t="s">
        <v>153</v>
      </c>
      <c r="C126" s="113"/>
      <c r="D126" s="113"/>
      <c r="E126" s="86"/>
      <c r="F126" s="47" t="str">
        <f t="shared" si="7"/>
        <v/>
      </c>
      <c r="G126" s="47" t="str">
        <f t="shared" si="8"/>
        <v/>
      </c>
      <c r="H126" s="52"/>
      <c r="I126" s="90"/>
      <c r="J126" s="90"/>
      <c r="K126" s="90"/>
      <c r="L126" s="52"/>
      <c r="M126" s="52"/>
    </row>
    <row r="127" spans="1:13" ht="15" hidden="1" customHeight="1" outlineLevel="1" x14ac:dyDescent="0.25">
      <c r="A127" s="90" t="s">
        <v>1069</v>
      </c>
      <c r="B127" s="67" t="s">
        <v>153</v>
      </c>
      <c r="C127" s="113"/>
      <c r="D127" s="113"/>
      <c r="E127" s="86"/>
      <c r="F127" s="47" t="str">
        <f t="shared" si="7"/>
        <v/>
      </c>
      <c r="G127" s="47" t="str">
        <f t="shared" si="8"/>
        <v/>
      </c>
      <c r="H127" s="52"/>
      <c r="I127" s="90"/>
      <c r="J127" s="90"/>
      <c r="K127" s="90"/>
      <c r="L127" s="52"/>
      <c r="M127" s="52"/>
    </row>
    <row r="128" spans="1:13" ht="15" hidden="1" customHeight="1" outlineLevel="1" x14ac:dyDescent="0.25">
      <c r="A128" s="90" t="s">
        <v>1070</v>
      </c>
      <c r="B128" s="67" t="s">
        <v>153</v>
      </c>
      <c r="C128" s="113"/>
      <c r="D128" s="113"/>
      <c r="E128" s="86"/>
      <c r="F128" s="47" t="str">
        <f t="shared" si="7"/>
        <v/>
      </c>
      <c r="G128" s="47" t="str">
        <f t="shared" si="8"/>
        <v/>
      </c>
      <c r="H128" s="52"/>
      <c r="I128" s="90"/>
      <c r="J128" s="90"/>
      <c r="K128" s="90"/>
      <c r="L128" s="52"/>
      <c r="M128" s="52"/>
    </row>
    <row r="129" spans="1:14" ht="15" hidden="1" customHeight="1" outlineLevel="1" x14ac:dyDescent="0.25">
      <c r="A129" s="90" t="s">
        <v>1071</v>
      </c>
      <c r="B129" s="67" t="s">
        <v>153</v>
      </c>
      <c r="C129" s="113"/>
      <c r="D129" s="113"/>
      <c r="E129" s="86"/>
      <c r="F129" s="47" t="str">
        <f t="shared" si="7"/>
        <v/>
      </c>
      <c r="G129" s="47" t="str">
        <f t="shared" si="8"/>
        <v/>
      </c>
      <c r="H129" s="52"/>
      <c r="I129" s="90"/>
      <c r="J129" s="90"/>
      <c r="K129" s="90"/>
      <c r="L129" s="52"/>
      <c r="M129" s="52"/>
    </row>
    <row r="130" spans="1:14" ht="15" hidden="1" customHeight="1" outlineLevel="1" x14ac:dyDescent="0.25">
      <c r="A130" s="90" t="s">
        <v>1072</v>
      </c>
      <c r="B130" s="67" t="s">
        <v>153</v>
      </c>
      <c r="C130" s="113"/>
      <c r="D130" s="113"/>
      <c r="E130" s="51"/>
      <c r="F130" s="47" t="str">
        <f t="shared" si="7"/>
        <v/>
      </c>
      <c r="G130" s="47" t="str">
        <f t="shared" si="8"/>
        <v/>
      </c>
      <c r="H130" s="52"/>
      <c r="I130" s="90"/>
      <c r="J130" s="90"/>
      <c r="K130" s="90"/>
      <c r="L130" s="52"/>
      <c r="M130" s="52"/>
    </row>
    <row r="131" spans="1:14" ht="15" customHeight="1" collapsed="1" x14ac:dyDescent="0.25">
      <c r="A131" s="58"/>
      <c r="B131" s="60" t="s">
        <v>682</v>
      </c>
      <c r="C131" s="59" t="s">
        <v>82</v>
      </c>
      <c r="D131" s="59" t="s">
        <v>83</v>
      </c>
      <c r="E131" s="46"/>
      <c r="F131" s="59" t="s">
        <v>84</v>
      </c>
      <c r="G131" s="59" t="s">
        <v>85</v>
      </c>
      <c r="H131" s="52"/>
      <c r="L131" s="52"/>
      <c r="M131" s="52"/>
    </row>
    <row r="132" spans="1:14" s="1" customFormat="1" ht="15" customHeight="1" x14ac:dyDescent="0.25">
      <c r="A132" s="90" t="s">
        <v>519</v>
      </c>
      <c r="B132" s="54" t="s">
        <v>54</v>
      </c>
      <c r="C132" s="113">
        <v>2047316600</v>
      </c>
      <c r="D132" s="113">
        <f>C132 - 0</f>
        <v>2047316600</v>
      </c>
      <c r="E132" s="47"/>
      <c r="F132" s="47">
        <f t="shared" ref="F132:F137" si="9">IF($C$147=0,"",IF(C132="ND1","",C132/$C$147))</f>
        <v>0.39505818691200767</v>
      </c>
      <c r="G132" s="47">
        <f t="shared" ref="G132:G146" si="10">IF($D$147=0,"",IF(D132="ND1","",D132/$D$147))</f>
        <v>0.39505818691200767</v>
      </c>
      <c r="H132" s="122"/>
      <c r="I132" s="53"/>
      <c r="J132" s="53"/>
      <c r="K132" s="53"/>
      <c r="L132" s="52"/>
      <c r="M132" s="52"/>
      <c r="N132" s="52"/>
    </row>
    <row r="133" spans="1:14" s="1" customFormat="1" ht="15" customHeight="1" x14ac:dyDescent="0.25">
      <c r="A133" s="90" t="s">
        <v>520</v>
      </c>
      <c r="B133" s="54" t="s">
        <v>22</v>
      </c>
      <c r="C133" s="113">
        <v>0</v>
      </c>
      <c r="D133" s="113">
        <f>C133 - 0</f>
        <v>0</v>
      </c>
      <c r="E133" s="47"/>
      <c r="F133" s="47">
        <f t="shared" si="9"/>
        <v>0</v>
      </c>
      <c r="G133" s="47">
        <f t="shared" si="10"/>
        <v>0</v>
      </c>
      <c r="H133" s="122"/>
      <c r="I133" s="53"/>
      <c r="J133" s="53"/>
      <c r="K133" s="53"/>
      <c r="L133" s="52"/>
      <c r="M133" s="52"/>
      <c r="N133" s="52"/>
    </row>
    <row r="134" spans="1:14" s="1" customFormat="1" ht="15" customHeight="1" x14ac:dyDescent="0.25">
      <c r="A134" s="90" t="s">
        <v>521</v>
      </c>
      <c r="B134" s="54" t="s">
        <v>1052</v>
      </c>
      <c r="C134" s="113">
        <v>3135000000</v>
      </c>
      <c r="D134" s="113">
        <f>C134 - 0</f>
        <v>3135000000</v>
      </c>
      <c r="E134" s="47"/>
      <c r="F134" s="47">
        <f t="shared" si="9"/>
        <v>0.60494181308799233</v>
      </c>
      <c r="G134" s="47">
        <f t="shared" si="10"/>
        <v>0.60494181308799233</v>
      </c>
      <c r="H134" s="122"/>
      <c r="I134" s="53"/>
      <c r="J134" s="53"/>
      <c r="K134" s="53"/>
      <c r="L134" s="52"/>
      <c r="M134" s="52"/>
      <c r="N134" s="52"/>
    </row>
    <row r="135" spans="1:14" s="1" customFormat="1" ht="15" customHeight="1" x14ac:dyDescent="0.25">
      <c r="A135" s="90" t="s">
        <v>522</v>
      </c>
      <c r="B135" s="86" t="s">
        <v>1016</v>
      </c>
      <c r="C135" s="113">
        <v>0</v>
      </c>
      <c r="D135" s="113">
        <v>0</v>
      </c>
      <c r="E135" s="47"/>
      <c r="F135" s="47">
        <f t="shared" si="9"/>
        <v>0</v>
      </c>
      <c r="G135" s="47">
        <f t="shared" si="10"/>
        <v>0</v>
      </c>
      <c r="H135" s="52"/>
      <c r="I135" s="53"/>
      <c r="J135" s="53"/>
      <c r="K135" s="53"/>
      <c r="L135" s="52"/>
      <c r="M135" s="52"/>
      <c r="N135" s="52"/>
    </row>
    <row r="136" spans="1:14" s="1" customFormat="1" ht="15" customHeight="1" x14ac:dyDescent="0.25">
      <c r="A136" s="90" t="s">
        <v>523</v>
      </c>
      <c r="B136" s="54" t="s">
        <v>23</v>
      </c>
      <c r="C136" s="113">
        <v>0</v>
      </c>
      <c r="D136" s="113">
        <v>0</v>
      </c>
      <c r="E136" s="47"/>
      <c r="F136" s="47">
        <f t="shared" si="9"/>
        <v>0</v>
      </c>
      <c r="G136" s="47">
        <f t="shared" si="10"/>
        <v>0</v>
      </c>
      <c r="H136" s="52"/>
      <c r="I136" s="53"/>
      <c r="J136" s="53"/>
      <c r="K136" s="53"/>
      <c r="L136" s="52"/>
      <c r="M136" s="52"/>
      <c r="N136" s="52"/>
    </row>
    <row r="137" spans="1:14" s="1" customFormat="1" ht="15" customHeight="1" x14ac:dyDescent="0.25">
      <c r="A137" s="90" t="s">
        <v>524</v>
      </c>
      <c r="B137" s="54" t="s">
        <v>24</v>
      </c>
      <c r="C137" s="113">
        <v>0</v>
      </c>
      <c r="D137" s="113">
        <v>0</v>
      </c>
      <c r="E137" s="54"/>
      <c r="F137" s="47">
        <f t="shared" si="9"/>
        <v>0</v>
      </c>
      <c r="G137" s="47">
        <f t="shared" si="10"/>
        <v>0</v>
      </c>
      <c r="H137" s="52"/>
      <c r="I137" s="53"/>
      <c r="J137" s="53"/>
      <c r="K137" s="53"/>
      <c r="L137" s="52"/>
      <c r="M137" s="52"/>
      <c r="N137" s="52"/>
    </row>
    <row r="138" spans="1:14" ht="15" customHeight="1" x14ac:dyDescent="0.25">
      <c r="A138" s="90" t="s">
        <v>525</v>
      </c>
      <c r="B138" s="54" t="s">
        <v>25</v>
      </c>
      <c r="C138" s="113">
        <v>0</v>
      </c>
      <c r="D138" s="113">
        <v>0</v>
      </c>
      <c r="E138" s="54"/>
      <c r="F138" s="47">
        <f>IF($C$147=0,"",IF(C138="0","",C138/$C$147))</f>
        <v>0</v>
      </c>
      <c r="G138" s="47">
        <f t="shared" si="10"/>
        <v>0</v>
      </c>
      <c r="H138" s="52"/>
      <c r="L138" s="52"/>
      <c r="M138" s="52"/>
    </row>
    <row r="139" spans="1:14" ht="15" customHeight="1" x14ac:dyDescent="0.25">
      <c r="A139" s="90" t="s">
        <v>526</v>
      </c>
      <c r="B139" s="54" t="s">
        <v>134</v>
      </c>
      <c r="C139" s="113">
        <v>0</v>
      </c>
      <c r="D139" s="113">
        <v>0</v>
      </c>
      <c r="E139" s="54"/>
      <c r="F139" s="47">
        <f t="shared" ref="F139:F146" si="11">IF($C$147=0,"",IF(C139="ND1","",C139/$C$147))</f>
        <v>0</v>
      </c>
      <c r="G139" s="47">
        <f t="shared" si="10"/>
        <v>0</v>
      </c>
      <c r="H139" s="52"/>
      <c r="L139" s="52"/>
      <c r="M139" s="52"/>
    </row>
    <row r="140" spans="1:14" ht="15" customHeight="1" x14ac:dyDescent="0.25">
      <c r="A140" s="90" t="s">
        <v>527</v>
      </c>
      <c r="B140" s="54" t="s">
        <v>78</v>
      </c>
      <c r="C140" s="113">
        <v>0</v>
      </c>
      <c r="D140" s="113">
        <v>0</v>
      </c>
      <c r="E140" s="54"/>
      <c r="F140" s="47">
        <f t="shared" si="11"/>
        <v>0</v>
      </c>
      <c r="G140" s="47">
        <f t="shared" si="10"/>
        <v>0</v>
      </c>
      <c r="H140" s="52"/>
      <c r="L140" s="52"/>
      <c r="M140" s="52"/>
    </row>
    <row r="141" spans="1:14" ht="15" customHeight="1" x14ac:dyDescent="0.25">
      <c r="A141" s="90" t="s">
        <v>528</v>
      </c>
      <c r="B141" s="54" t="s">
        <v>75</v>
      </c>
      <c r="C141" s="113">
        <v>0</v>
      </c>
      <c r="D141" s="113">
        <v>0</v>
      </c>
      <c r="E141" s="54"/>
      <c r="F141" s="47">
        <f t="shared" si="11"/>
        <v>0</v>
      </c>
      <c r="G141" s="47">
        <f t="shared" si="10"/>
        <v>0</v>
      </c>
      <c r="H141" s="52"/>
      <c r="L141" s="52"/>
      <c r="M141" s="52"/>
    </row>
    <row r="142" spans="1:14" ht="15" customHeight="1" x14ac:dyDescent="0.25">
      <c r="A142" s="90" t="s">
        <v>529</v>
      </c>
      <c r="B142" s="54" t="s">
        <v>79</v>
      </c>
      <c r="C142" s="113">
        <v>0</v>
      </c>
      <c r="D142" s="113">
        <v>0</v>
      </c>
      <c r="E142" s="54"/>
      <c r="F142" s="47">
        <f t="shared" si="11"/>
        <v>0</v>
      </c>
      <c r="G142" s="47">
        <f t="shared" si="10"/>
        <v>0</v>
      </c>
      <c r="H142" s="52"/>
      <c r="L142" s="52"/>
      <c r="M142" s="52"/>
    </row>
    <row r="143" spans="1:14" ht="15" customHeight="1" x14ac:dyDescent="0.25">
      <c r="A143" s="90" t="s">
        <v>530</v>
      </c>
      <c r="B143" s="54" t="s">
        <v>133</v>
      </c>
      <c r="C143" s="113">
        <v>0</v>
      </c>
      <c r="D143" s="113">
        <v>0</v>
      </c>
      <c r="E143" s="54"/>
      <c r="F143" s="47">
        <f t="shared" si="11"/>
        <v>0</v>
      </c>
      <c r="G143" s="47">
        <f t="shared" si="10"/>
        <v>0</v>
      </c>
      <c r="H143" s="52"/>
      <c r="L143" s="52"/>
      <c r="M143" s="52"/>
    </row>
    <row r="144" spans="1:14" ht="15" customHeight="1" x14ac:dyDescent="0.25">
      <c r="A144" s="90" t="s">
        <v>531</v>
      </c>
      <c r="B144" s="54" t="s">
        <v>38</v>
      </c>
      <c r="C144" s="113">
        <v>0</v>
      </c>
      <c r="D144" s="113">
        <v>0</v>
      </c>
      <c r="E144" s="54"/>
      <c r="F144" s="47">
        <f t="shared" si="11"/>
        <v>0</v>
      </c>
      <c r="G144" s="47">
        <f t="shared" si="10"/>
        <v>0</v>
      </c>
      <c r="H144" s="52"/>
      <c r="L144" s="52"/>
      <c r="M144" s="52"/>
    </row>
    <row r="145" spans="1:13" ht="15" customHeight="1" x14ac:dyDescent="0.25">
      <c r="A145" s="90" t="s">
        <v>532</v>
      </c>
      <c r="B145" s="54" t="s">
        <v>76</v>
      </c>
      <c r="C145" s="113">
        <v>0</v>
      </c>
      <c r="D145" s="113">
        <v>0</v>
      </c>
      <c r="E145" s="54"/>
      <c r="F145" s="47">
        <f t="shared" si="11"/>
        <v>0</v>
      </c>
      <c r="G145" s="47">
        <f t="shared" si="10"/>
        <v>0</v>
      </c>
      <c r="H145" s="52"/>
      <c r="L145" s="52"/>
      <c r="M145" s="52"/>
    </row>
    <row r="146" spans="1:13" ht="15" customHeight="1" x14ac:dyDescent="0.25">
      <c r="A146" s="90" t="s">
        <v>533</v>
      </c>
      <c r="B146" s="54" t="s">
        <v>2</v>
      </c>
      <c r="C146" s="113">
        <v>0</v>
      </c>
      <c r="D146" s="113">
        <v>0</v>
      </c>
      <c r="E146" s="54"/>
      <c r="F146" s="47">
        <f t="shared" si="11"/>
        <v>0</v>
      </c>
      <c r="G146" s="47">
        <f t="shared" si="10"/>
        <v>0</v>
      </c>
      <c r="H146" s="52"/>
      <c r="L146" s="52"/>
      <c r="M146" s="52"/>
    </row>
    <row r="147" spans="1:13" ht="15" customHeight="1" x14ac:dyDescent="0.25">
      <c r="A147" s="90" t="s">
        <v>534</v>
      </c>
      <c r="B147" s="8" t="s">
        <v>1</v>
      </c>
      <c r="C147" s="113">
        <f>SUM(C132:C146)</f>
        <v>5182316600</v>
      </c>
      <c r="D147" s="113">
        <f>SUM(D132:D146)</f>
        <v>5182316600</v>
      </c>
      <c r="E147" s="54"/>
      <c r="F147" s="47">
        <f>SUM(F132:F146)</f>
        <v>1</v>
      </c>
      <c r="G147" s="47">
        <f>SUM(G132:G146)</f>
        <v>1</v>
      </c>
      <c r="H147" s="122"/>
      <c r="J147" s="113"/>
      <c r="L147" s="52"/>
      <c r="M147" s="52"/>
    </row>
    <row r="148" spans="1:13" ht="15" hidden="1" customHeight="1" outlineLevel="1" x14ac:dyDescent="0.25">
      <c r="A148" s="90" t="s">
        <v>1073</v>
      </c>
      <c r="B148" s="67" t="s">
        <v>153</v>
      </c>
      <c r="C148" s="113"/>
      <c r="D148" s="113"/>
      <c r="E148" s="86"/>
      <c r="F148" s="47" t="str">
        <f t="shared" ref="F148:F156" si="12">IF($C$147=0,"",IF(C148="","",C148/$C$147))</f>
        <v/>
      </c>
      <c r="G148" s="47" t="str">
        <f t="shared" ref="G148:G156" si="13">IF($D$147=0,"",IF(D148="","",D148/$D$147))</f>
        <v/>
      </c>
      <c r="H148" s="52"/>
      <c r="I148" s="90"/>
      <c r="J148" s="90"/>
      <c r="K148" s="90"/>
      <c r="L148" s="52"/>
      <c r="M148" s="52"/>
    </row>
    <row r="149" spans="1:13" ht="15" hidden="1" customHeight="1" outlineLevel="1" x14ac:dyDescent="0.25">
      <c r="A149" s="90" t="s">
        <v>1074</v>
      </c>
      <c r="B149" s="67" t="s">
        <v>153</v>
      </c>
      <c r="C149" s="113"/>
      <c r="D149" s="113"/>
      <c r="E149" s="86"/>
      <c r="F149" s="47" t="str">
        <f t="shared" si="12"/>
        <v/>
      </c>
      <c r="G149" s="47" t="str">
        <f t="shared" si="13"/>
        <v/>
      </c>
      <c r="H149" s="52"/>
      <c r="I149" s="90"/>
      <c r="J149" s="90"/>
      <c r="K149" s="90"/>
      <c r="L149" s="52"/>
      <c r="M149" s="52"/>
    </row>
    <row r="150" spans="1:13" ht="15" hidden="1" customHeight="1" outlineLevel="1" x14ac:dyDescent="0.25">
      <c r="A150" s="90" t="s">
        <v>1075</v>
      </c>
      <c r="B150" s="67" t="s">
        <v>153</v>
      </c>
      <c r="C150" s="113"/>
      <c r="D150" s="113"/>
      <c r="E150" s="86"/>
      <c r="F150" s="47" t="str">
        <f t="shared" si="12"/>
        <v/>
      </c>
      <c r="G150" s="47" t="str">
        <f t="shared" si="13"/>
        <v/>
      </c>
      <c r="H150" s="52"/>
      <c r="I150" s="90"/>
      <c r="J150" s="90"/>
      <c r="K150" s="90"/>
      <c r="L150" s="52"/>
      <c r="M150" s="52"/>
    </row>
    <row r="151" spans="1:13" ht="15" hidden="1" customHeight="1" outlineLevel="1" x14ac:dyDescent="0.25">
      <c r="A151" s="90" t="s">
        <v>1076</v>
      </c>
      <c r="B151" s="67" t="s">
        <v>153</v>
      </c>
      <c r="C151" s="113"/>
      <c r="D151" s="113"/>
      <c r="E151" s="86"/>
      <c r="F151" s="47" t="str">
        <f t="shared" si="12"/>
        <v/>
      </c>
      <c r="G151" s="47" t="str">
        <f t="shared" si="13"/>
        <v/>
      </c>
      <c r="H151" s="52"/>
      <c r="I151" s="90"/>
      <c r="J151" s="90"/>
      <c r="K151" s="90"/>
      <c r="L151" s="52"/>
      <c r="M151" s="52"/>
    </row>
    <row r="152" spans="1:13" ht="15" hidden="1" customHeight="1" outlineLevel="1" x14ac:dyDescent="0.25">
      <c r="A152" s="90" t="s">
        <v>1077</v>
      </c>
      <c r="B152" s="67" t="s">
        <v>153</v>
      </c>
      <c r="C152" s="113"/>
      <c r="D152" s="113"/>
      <c r="E152" s="86"/>
      <c r="F152" s="47" t="str">
        <f t="shared" si="12"/>
        <v/>
      </c>
      <c r="G152" s="47" t="str">
        <f t="shared" si="13"/>
        <v/>
      </c>
      <c r="H152" s="52"/>
      <c r="I152" s="90"/>
      <c r="J152" s="90"/>
      <c r="K152" s="90"/>
      <c r="L152" s="52"/>
      <c r="M152" s="52"/>
    </row>
    <row r="153" spans="1:13" ht="15" hidden="1" customHeight="1" outlineLevel="1" x14ac:dyDescent="0.25">
      <c r="A153" s="90" t="s">
        <v>1078</v>
      </c>
      <c r="B153" s="67" t="s">
        <v>153</v>
      </c>
      <c r="C153" s="113"/>
      <c r="D153" s="113"/>
      <c r="E153" s="86"/>
      <c r="F153" s="47" t="str">
        <f t="shared" si="12"/>
        <v/>
      </c>
      <c r="G153" s="47" t="str">
        <f t="shared" si="13"/>
        <v/>
      </c>
      <c r="H153" s="52"/>
      <c r="I153" s="90"/>
      <c r="J153" s="90"/>
      <c r="K153" s="90"/>
      <c r="L153" s="52"/>
      <c r="M153" s="52"/>
    </row>
    <row r="154" spans="1:13" ht="15" hidden="1" customHeight="1" outlineLevel="1" x14ac:dyDescent="0.25">
      <c r="A154" s="90" t="s">
        <v>1079</v>
      </c>
      <c r="B154" s="67" t="s">
        <v>153</v>
      </c>
      <c r="C154" s="113"/>
      <c r="D154" s="113"/>
      <c r="E154" s="86"/>
      <c r="F154" s="47" t="str">
        <f t="shared" si="12"/>
        <v/>
      </c>
      <c r="G154" s="47" t="str">
        <f t="shared" si="13"/>
        <v/>
      </c>
      <c r="H154" s="52"/>
      <c r="I154" s="90"/>
      <c r="J154" s="90"/>
      <c r="K154" s="90"/>
      <c r="L154" s="52"/>
      <c r="M154" s="52"/>
    </row>
    <row r="155" spans="1:13" ht="15" hidden="1" customHeight="1" outlineLevel="1" x14ac:dyDescent="0.25">
      <c r="A155" s="90" t="s">
        <v>1080</v>
      </c>
      <c r="B155" s="67" t="s">
        <v>153</v>
      </c>
      <c r="C155" s="113"/>
      <c r="D155" s="113"/>
      <c r="E155" s="86"/>
      <c r="F155" s="47" t="str">
        <f t="shared" si="12"/>
        <v/>
      </c>
      <c r="G155" s="47" t="str">
        <f t="shared" si="13"/>
        <v/>
      </c>
      <c r="H155" s="52"/>
      <c r="I155" s="90"/>
      <c r="J155" s="90"/>
      <c r="K155" s="90"/>
      <c r="L155" s="52"/>
      <c r="M155" s="52"/>
    </row>
    <row r="156" spans="1:13" ht="15" hidden="1" customHeight="1" outlineLevel="1" x14ac:dyDescent="0.25">
      <c r="A156" s="90" t="s">
        <v>1081</v>
      </c>
      <c r="B156" s="67" t="s">
        <v>153</v>
      </c>
      <c r="C156" s="113"/>
      <c r="D156" s="113"/>
      <c r="E156" s="51"/>
      <c r="F156" s="47" t="str">
        <f t="shared" si="12"/>
        <v/>
      </c>
      <c r="G156" s="47" t="str">
        <f t="shared" si="13"/>
        <v/>
      </c>
      <c r="H156" s="52"/>
      <c r="I156" s="90"/>
      <c r="J156" s="90"/>
      <c r="K156" s="90"/>
      <c r="L156" s="52"/>
      <c r="M156" s="52"/>
    </row>
    <row r="157" spans="1:13" ht="15" customHeight="1" collapsed="1" x14ac:dyDescent="0.25">
      <c r="A157" s="58"/>
      <c r="B157" s="60" t="s">
        <v>683</v>
      </c>
      <c r="C157" s="58" t="s">
        <v>81</v>
      </c>
      <c r="D157" s="58"/>
      <c r="E157" s="46"/>
      <c r="F157" s="59" t="s">
        <v>55</v>
      </c>
      <c r="G157" s="59"/>
      <c r="H157" s="52"/>
      <c r="L157" s="52"/>
      <c r="M157" s="52"/>
    </row>
    <row r="158" spans="1:13" ht="15" customHeight="1" x14ac:dyDescent="0.25">
      <c r="A158" s="90" t="s">
        <v>535</v>
      </c>
      <c r="B158" s="52" t="s">
        <v>16</v>
      </c>
      <c r="C158" s="113">
        <v>982197850</v>
      </c>
      <c r="D158" s="113"/>
      <c r="E158" s="9"/>
      <c r="F158" s="47">
        <f>IF($C$161=0,"",IF(C158="[for completion]","",C158/$C$161))</f>
        <v>0.18952872350562294</v>
      </c>
      <c r="G158" s="47"/>
      <c r="H158" s="122"/>
      <c r="J158" s="113"/>
      <c r="L158" s="52"/>
      <c r="M158" s="52"/>
    </row>
    <row r="159" spans="1:13" ht="15" customHeight="1" x14ac:dyDescent="0.25">
      <c r="A159" s="90" t="s">
        <v>536</v>
      </c>
      <c r="B159" s="52" t="s">
        <v>17</v>
      </c>
      <c r="C159" s="113">
        <v>4200118750</v>
      </c>
      <c r="D159" s="113"/>
      <c r="E159" s="9"/>
      <c r="F159" s="47">
        <f>IF($C$161=0,"",IF(C159="[for completion]","",C159/$C$161))</f>
        <v>0.810471276494377</v>
      </c>
      <c r="G159" s="47"/>
      <c r="H159" s="122"/>
      <c r="J159" s="113"/>
      <c r="L159" s="52"/>
      <c r="M159" s="52"/>
    </row>
    <row r="160" spans="1:13" ht="15" customHeight="1" x14ac:dyDescent="0.25">
      <c r="A160" s="90" t="s">
        <v>537</v>
      </c>
      <c r="B160" s="52" t="s">
        <v>2</v>
      </c>
      <c r="C160" s="113">
        <v>0</v>
      </c>
      <c r="D160" s="113"/>
      <c r="E160" s="9"/>
      <c r="F160" s="47">
        <f>IF($C$161=0,"",IF(C160="[for completion]","",C160/$C$161))</f>
        <v>0</v>
      </c>
      <c r="G160" s="47"/>
      <c r="H160" s="52"/>
      <c r="L160" s="52"/>
      <c r="M160" s="52"/>
    </row>
    <row r="161" spans="1:13" ht="15" customHeight="1" x14ac:dyDescent="0.25">
      <c r="A161" s="90" t="s">
        <v>538</v>
      </c>
      <c r="B161" s="10" t="s">
        <v>1</v>
      </c>
      <c r="C161" s="113">
        <f>SUM(C158:C160)</f>
        <v>5182316600</v>
      </c>
      <c r="D161" s="113"/>
      <c r="E161" s="9"/>
      <c r="F161" s="47">
        <f>SUM(F158:F160)</f>
        <v>1</v>
      </c>
      <c r="G161" s="47"/>
      <c r="H161" s="52"/>
      <c r="L161" s="52"/>
      <c r="M161" s="52"/>
    </row>
    <row r="162" spans="1:13" ht="15" hidden="1" customHeight="1" outlineLevel="1" x14ac:dyDescent="0.25">
      <c r="A162" s="90" t="s">
        <v>539</v>
      </c>
      <c r="B162" s="10"/>
      <c r="C162" s="113"/>
      <c r="D162" s="113"/>
      <c r="E162" s="9"/>
      <c r="F162" s="47"/>
      <c r="G162" s="47"/>
      <c r="H162" s="52"/>
      <c r="L162" s="52"/>
      <c r="M162" s="52"/>
    </row>
    <row r="163" spans="1:13" ht="15" hidden="1" customHeight="1" outlineLevel="1" x14ac:dyDescent="0.25">
      <c r="A163" s="90" t="s">
        <v>540</v>
      </c>
      <c r="B163" s="10"/>
      <c r="C163" s="113"/>
      <c r="D163" s="113"/>
      <c r="E163" s="9"/>
      <c r="F163" s="47"/>
      <c r="G163" s="47"/>
      <c r="H163" s="52"/>
      <c r="L163" s="52"/>
      <c r="M163" s="52"/>
    </row>
    <row r="164" spans="1:13" ht="15" hidden="1" customHeight="1" outlineLevel="1" x14ac:dyDescent="0.25">
      <c r="A164" s="90" t="s">
        <v>541</v>
      </c>
      <c r="B164" s="10"/>
      <c r="C164" s="113"/>
      <c r="D164" s="113"/>
      <c r="E164" s="9"/>
      <c r="F164" s="47"/>
      <c r="G164" s="47"/>
      <c r="H164" s="52"/>
      <c r="L164" s="52"/>
      <c r="M164" s="52"/>
    </row>
    <row r="165" spans="1:13" ht="15" hidden="1" customHeight="1" outlineLevel="1" x14ac:dyDescent="0.25">
      <c r="A165" s="90" t="s">
        <v>542</v>
      </c>
      <c r="B165" s="10"/>
      <c r="C165" s="113"/>
      <c r="D165" s="113"/>
      <c r="E165" s="9"/>
      <c r="F165" s="47"/>
      <c r="G165" s="47"/>
      <c r="H165" s="52"/>
      <c r="I165" s="90"/>
      <c r="L165" s="52"/>
      <c r="M165" s="52"/>
    </row>
    <row r="166" spans="1:13" ht="15" hidden="1" customHeight="1" outlineLevel="1" x14ac:dyDescent="0.25">
      <c r="A166" s="90" t="s">
        <v>543</v>
      </c>
      <c r="B166" s="10"/>
      <c r="C166" s="113"/>
      <c r="D166" s="113"/>
      <c r="E166" s="9"/>
      <c r="F166" s="47"/>
      <c r="G166" s="47"/>
      <c r="H166" s="52"/>
      <c r="I166" s="90"/>
      <c r="L166" s="52"/>
      <c r="M166" s="52"/>
    </row>
    <row r="167" spans="1:13" ht="15" customHeight="1" collapsed="1" x14ac:dyDescent="0.25">
      <c r="A167" s="58"/>
      <c r="B167" s="60" t="s">
        <v>684</v>
      </c>
      <c r="C167" s="58" t="s">
        <v>81</v>
      </c>
      <c r="D167" s="58"/>
      <c r="E167" s="46"/>
      <c r="F167" s="59" t="s">
        <v>145</v>
      </c>
      <c r="G167" s="59"/>
      <c r="H167" s="52"/>
      <c r="I167" s="90"/>
      <c r="L167" s="52"/>
      <c r="M167" s="52"/>
    </row>
    <row r="168" spans="1:13" ht="15" customHeight="1" x14ac:dyDescent="0.25">
      <c r="A168" s="90" t="s">
        <v>544</v>
      </c>
      <c r="B168" s="86" t="s">
        <v>262</v>
      </c>
      <c r="C168" s="113">
        <v>0</v>
      </c>
      <c r="D168" s="113"/>
      <c r="E168" s="3"/>
      <c r="F168" s="47">
        <f>IF($C$173=0,"",IF(C168="[for completion]","",C168/$C$173))</f>
        <v>0</v>
      </c>
      <c r="G168" s="47"/>
      <c r="H168" s="52"/>
      <c r="I168" s="90"/>
      <c r="J168" s="90"/>
      <c r="K168" s="90"/>
      <c r="L168" s="52"/>
      <c r="M168" s="52"/>
    </row>
    <row r="169" spans="1:13" ht="15" customHeight="1" x14ac:dyDescent="0.25">
      <c r="A169" s="90" t="s">
        <v>545</v>
      </c>
      <c r="B169" s="86" t="s">
        <v>199</v>
      </c>
      <c r="C169" s="113">
        <v>57555719.350000001</v>
      </c>
      <c r="D169" s="113"/>
      <c r="E169" s="48"/>
      <c r="F169" s="47">
        <f>IF($C$173=0,"",IF(C169="[for completion]","",C169/$C$173))</f>
        <v>1</v>
      </c>
      <c r="G169" s="47"/>
      <c r="H169" s="122"/>
      <c r="I169" s="90"/>
      <c r="J169" s="126"/>
      <c r="L169" s="52"/>
      <c r="M169" s="52"/>
    </row>
    <row r="170" spans="1:13" ht="15" customHeight="1" x14ac:dyDescent="0.25">
      <c r="A170" s="90" t="s">
        <v>546</v>
      </c>
      <c r="B170" s="54" t="s">
        <v>198</v>
      </c>
      <c r="C170" s="113">
        <v>0</v>
      </c>
      <c r="D170" s="113"/>
      <c r="E170" s="48"/>
      <c r="F170" s="47">
        <f>IF($C$173=0,"",IF(C170="[for completion]","",C170/$C$173))</f>
        <v>0</v>
      </c>
      <c r="G170" s="47"/>
      <c r="H170" s="52"/>
      <c r="I170" s="90"/>
      <c r="L170" s="52"/>
      <c r="M170" s="52"/>
    </row>
    <row r="171" spans="1:13" ht="15" customHeight="1" x14ac:dyDescent="0.25">
      <c r="A171" s="90" t="s">
        <v>547</v>
      </c>
      <c r="B171" s="54" t="s">
        <v>130</v>
      </c>
      <c r="C171" s="113">
        <v>0</v>
      </c>
      <c r="D171" s="113"/>
      <c r="E171" s="48"/>
      <c r="F171" s="47">
        <f>IF($C$173=0,"",IF(C171="[for completion]","",C171/$C$173))</f>
        <v>0</v>
      </c>
      <c r="G171" s="47"/>
      <c r="H171" s="52"/>
      <c r="L171" s="52"/>
      <c r="M171" s="52"/>
    </row>
    <row r="172" spans="1:13" ht="15" customHeight="1" x14ac:dyDescent="0.25">
      <c r="A172" s="90" t="s">
        <v>548</v>
      </c>
      <c r="B172" s="54" t="s">
        <v>2</v>
      </c>
      <c r="C172" s="113">
        <v>0</v>
      </c>
      <c r="D172" s="113"/>
      <c r="E172" s="48"/>
      <c r="F172" s="47">
        <f>IF($C$173=0,"",IF(C172="[for completion]","",C172/$C$173))</f>
        <v>0</v>
      </c>
      <c r="G172" s="47"/>
      <c r="H172" s="52"/>
      <c r="L172" s="52"/>
      <c r="M172" s="52"/>
    </row>
    <row r="173" spans="1:13" ht="15" customHeight="1" x14ac:dyDescent="0.25">
      <c r="A173" s="90" t="s">
        <v>549</v>
      </c>
      <c r="B173" s="8" t="s">
        <v>1</v>
      </c>
      <c r="C173" s="113">
        <f>SUM(C169:C172)</f>
        <v>57555719.350000001</v>
      </c>
      <c r="D173" s="113"/>
      <c r="E173" s="48"/>
      <c r="F173" s="47">
        <f>SUM(F168:F172)</f>
        <v>1</v>
      </c>
      <c r="G173" s="47"/>
      <c r="H173" s="52"/>
      <c r="L173" s="52"/>
      <c r="M173" s="52"/>
    </row>
    <row r="174" spans="1:13" ht="15" hidden="1" customHeight="1" outlineLevel="1" x14ac:dyDescent="0.25">
      <c r="A174" s="90" t="s">
        <v>550</v>
      </c>
      <c r="B174" s="68" t="s">
        <v>200</v>
      </c>
      <c r="C174" s="113"/>
      <c r="D174" s="113"/>
      <c r="E174" s="48"/>
      <c r="F174" s="47" t="str">
        <f t="shared" ref="F174:F185" si="14">IF($C$173=0,"",IF(C174="","",C174/$C$173))</f>
        <v/>
      </c>
      <c r="G174" s="47"/>
      <c r="H174" s="52"/>
      <c r="L174" s="52"/>
      <c r="M174" s="52"/>
    </row>
    <row r="175" spans="1:13" s="68" customFormat="1" ht="15" hidden="1" customHeight="1" outlineLevel="1" x14ac:dyDescent="0.25">
      <c r="A175" s="90" t="s">
        <v>551</v>
      </c>
      <c r="B175" s="68" t="s">
        <v>217</v>
      </c>
      <c r="C175" s="113"/>
      <c r="D175" s="113"/>
      <c r="F175" s="47" t="str">
        <f t="shared" si="14"/>
        <v/>
      </c>
      <c r="G175" s="47"/>
    </row>
    <row r="176" spans="1:13" ht="15" hidden="1" customHeight="1" outlineLevel="1" x14ac:dyDescent="0.25">
      <c r="A176" s="90" t="s">
        <v>552</v>
      </c>
      <c r="B176" s="68" t="s">
        <v>218</v>
      </c>
      <c r="C176" s="113"/>
      <c r="D176" s="113"/>
      <c r="E176" s="48"/>
      <c r="F176" s="47" t="str">
        <f t="shared" si="14"/>
        <v/>
      </c>
      <c r="G176" s="47"/>
      <c r="H176" s="52"/>
      <c r="L176" s="52"/>
      <c r="M176" s="52"/>
    </row>
    <row r="177" spans="1:13" ht="15" hidden="1" customHeight="1" outlineLevel="1" x14ac:dyDescent="0.25">
      <c r="A177" s="90" t="s">
        <v>553</v>
      </c>
      <c r="B177" s="68" t="s">
        <v>201</v>
      </c>
      <c r="C177" s="113"/>
      <c r="D177" s="113"/>
      <c r="E177" s="48"/>
      <c r="F177" s="47" t="str">
        <f t="shared" si="14"/>
        <v/>
      </c>
      <c r="G177" s="47"/>
      <c r="H177" s="52"/>
      <c r="L177" s="52"/>
      <c r="M177" s="52"/>
    </row>
    <row r="178" spans="1:13" s="68" customFormat="1" ht="15" hidden="1" customHeight="1" outlineLevel="1" x14ac:dyDescent="0.25">
      <c r="A178" s="90" t="s">
        <v>554</v>
      </c>
      <c r="B178" s="68" t="s">
        <v>219</v>
      </c>
      <c r="C178" s="113"/>
      <c r="D178" s="113"/>
      <c r="F178" s="47" t="str">
        <f t="shared" si="14"/>
        <v/>
      </c>
      <c r="G178" s="47"/>
    </row>
    <row r="179" spans="1:13" ht="15" hidden="1" customHeight="1" outlineLevel="1" x14ac:dyDescent="0.25">
      <c r="A179" s="90" t="s">
        <v>555</v>
      </c>
      <c r="B179" s="68" t="s">
        <v>220</v>
      </c>
      <c r="C179" s="113"/>
      <c r="D179" s="113"/>
      <c r="E179" s="48"/>
      <c r="F179" s="47" t="str">
        <f t="shared" si="14"/>
        <v/>
      </c>
      <c r="G179" s="47"/>
      <c r="H179" s="52"/>
      <c r="L179" s="52"/>
      <c r="M179" s="52"/>
    </row>
    <row r="180" spans="1:13" ht="15" hidden="1" customHeight="1" outlineLevel="1" x14ac:dyDescent="0.25">
      <c r="A180" s="90" t="s">
        <v>556</v>
      </c>
      <c r="B180" s="68" t="s">
        <v>187</v>
      </c>
      <c r="C180" s="113"/>
      <c r="D180" s="113"/>
      <c r="E180" s="48"/>
      <c r="F180" s="47" t="str">
        <f t="shared" si="14"/>
        <v/>
      </c>
      <c r="G180" s="47"/>
      <c r="H180" s="52"/>
      <c r="L180" s="52"/>
      <c r="M180" s="52"/>
    </row>
    <row r="181" spans="1:13" ht="15" hidden="1" customHeight="1" outlineLevel="1" x14ac:dyDescent="0.25">
      <c r="A181" s="90" t="s">
        <v>557</v>
      </c>
      <c r="B181" s="68" t="s">
        <v>188</v>
      </c>
      <c r="C181" s="113"/>
      <c r="D181" s="113"/>
      <c r="E181" s="48"/>
      <c r="F181" s="47" t="str">
        <f t="shared" si="14"/>
        <v/>
      </c>
      <c r="G181" s="47"/>
      <c r="H181" s="52"/>
      <c r="L181" s="52"/>
      <c r="M181" s="52"/>
    </row>
    <row r="182" spans="1:13" ht="15" hidden="1" customHeight="1" outlineLevel="1" x14ac:dyDescent="0.25">
      <c r="A182" s="90" t="s">
        <v>558</v>
      </c>
      <c r="B182" s="68"/>
      <c r="C182" s="113"/>
      <c r="D182" s="113"/>
      <c r="E182" s="48"/>
      <c r="F182" s="47" t="str">
        <f t="shared" si="14"/>
        <v/>
      </c>
      <c r="G182" s="47"/>
      <c r="H182" s="52"/>
      <c r="L182" s="52"/>
      <c r="M182" s="52"/>
    </row>
    <row r="183" spans="1:13" ht="15" hidden="1" customHeight="1" outlineLevel="1" x14ac:dyDescent="0.25">
      <c r="A183" s="90" t="s">
        <v>559</v>
      </c>
      <c r="B183" s="68"/>
      <c r="C183" s="113"/>
      <c r="D183" s="113"/>
      <c r="E183" s="48"/>
      <c r="F183" s="47" t="str">
        <f t="shared" si="14"/>
        <v/>
      </c>
      <c r="G183" s="47"/>
      <c r="H183" s="52"/>
      <c r="L183" s="52"/>
      <c r="M183" s="52"/>
    </row>
    <row r="184" spans="1:13" ht="15" hidden="1" customHeight="1" outlineLevel="1" x14ac:dyDescent="0.25">
      <c r="A184" s="90" t="s">
        <v>560</v>
      </c>
      <c r="B184" s="68"/>
      <c r="C184" s="113"/>
      <c r="D184" s="113"/>
      <c r="E184" s="48"/>
      <c r="F184" s="47" t="str">
        <f t="shared" si="14"/>
        <v/>
      </c>
      <c r="G184" s="47"/>
      <c r="H184" s="52"/>
      <c r="L184" s="52"/>
      <c r="M184" s="52"/>
    </row>
    <row r="185" spans="1:13" ht="15" hidden="1" customHeight="1" outlineLevel="1" x14ac:dyDescent="0.25">
      <c r="A185" s="90" t="s">
        <v>561</v>
      </c>
      <c r="B185" s="67"/>
      <c r="C185" s="113"/>
      <c r="D185" s="113"/>
      <c r="E185" s="48"/>
      <c r="F185" s="47" t="str">
        <f t="shared" si="14"/>
        <v/>
      </c>
      <c r="G185" s="47"/>
      <c r="H185" s="52"/>
      <c r="L185" s="52"/>
      <c r="M185" s="52"/>
    </row>
    <row r="186" spans="1:13" ht="15" customHeight="1" collapsed="1" x14ac:dyDescent="0.25">
      <c r="A186" s="58"/>
      <c r="B186" s="60" t="s">
        <v>685</v>
      </c>
      <c r="C186" s="58" t="s">
        <v>81</v>
      </c>
      <c r="D186" s="58"/>
      <c r="E186" s="46"/>
      <c r="F186" s="59" t="s">
        <v>145</v>
      </c>
      <c r="G186" s="59"/>
      <c r="H186" s="52"/>
      <c r="L186" s="52"/>
      <c r="M186" s="52"/>
    </row>
    <row r="187" spans="1:13" ht="15" customHeight="1" x14ac:dyDescent="0.25">
      <c r="A187" s="90" t="s">
        <v>562</v>
      </c>
      <c r="B187" s="86" t="s">
        <v>1055</v>
      </c>
      <c r="C187" s="113">
        <v>57555719.350000001</v>
      </c>
      <c r="D187" s="113"/>
      <c r="E187" s="55"/>
      <c r="F187" s="47">
        <f t="shared" ref="F187:F201" si="15">IF($C$202=0,"",IF(C187="ND1","",C187/$C$202))</f>
        <v>1</v>
      </c>
      <c r="G187" s="47"/>
      <c r="H187" s="52"/>
      <c r="L187" s="52"/>
      <c r="M187" s="52"/>
    </row>
    <row r="188" spans="1:13" ht="15" customHeight="1" x14ac:dyDescent="0.25">
      <c r="A188" s="90" t="s">
        <v>563</v>
      </c>
      <c r="B188" s="54" t="s">
        <v>88</v>
      </c>
      <c r="C188" s="113">
        <v>0</v>
      </c>
      <c r="D188" s="113"/>
      <c r="E188" s="48"/>
      <c r="F188" s="47">
        <f t="shared" si="15"/>
        <v>0</v>
      </c>
      <c r="G188" s="47"/>
      <c r="H188" s="52"/>
      <c r="L188" s="52"/>
      <c r="M188" s="52"/>
    </row>
    <row r="189" spans="1:13" ht="15" customHeight="1" x14ac:dyDescent="0.25">
      <c r="A189" s="90" t="s">
        <v>564</v>
      </c>
      <c r="B189" s="54" t="s">
        <v>124</v>
      </c>
      <c r="C189" s="113">
        <v>0</v>
      </c>
      <c r="D189" s="113"/>
      <c r="E189" s="48"/>
      <c r="F189" s="47">
        <f t="shared" si="15"/>
        <v>0</v>
      </c>
      <c r="G189" s="47"/>
      <c r="H189" s="52"/>
      <c r="L189" s="52"/>
      <c r="M189" s="52"/>
    </row>
    <row r="190" spans="1:13" ht="15" customHeight="1" x14ac:dyDescent="0.25">
      <c r="A190" s="90" t="s">
        <v>565</v>
      </c>
      <c r="B190" s="54" t="s">
        <v>113</v>
      </c>
      <c r="C190" s="113">
        <v>0</v>
      </c>
      <c r="D190" s="113"/>
      <c r="E190" s="48"/>
      <c r="F190" s="47">
        <f t="shared" si="15"/>
        <v>0</v>
      </c>
      <c r="G190" s="47"/>
      <c r="H190" s="52"/>
      <c r="L190" s="52"/>
      <c r="M190" s="52"/>
    </row>
    <row r="191" spans="1:13" ht="15" customHeight="1" x14ac:dyDescent="0.25">
      <c r="A191" s="90" t="s">
        <v>566</v>
      </c>
      <c r="B191" s="54" t="s">
        <v>117</v>
      </c>
      <c r="C191" s="113">
        <v>0</v>
      </c>
      <c r="D191" s="113"/>
      <c r="E191" s="48"/>
      <c r="F191" s="47">
        <f t="shared" si="15"/>
        <v>0</v>
      </c>
      <c r="G191" s="47"/>
      <c r="H191" s="52"/>
      <c r="L191" s="52"/>
      <c r="M191" s="52"/>
    </row>
    <row r="192" spans="1:13" ht="15" customHeight="1" x14ac:dyDescent="0.25">
      <c r="A192" s="90" t="s">
        <v>567</v>
      </c>
      <c r="B192" s="54" t="s">
        <v>118</v>
      </c>
      <c r="C192" s="113">
        <v>0</v>
      </c>
      <c r="D192" s="113"/>
      <c r="E192" s="48"/>
      <c r="F192" s="47">
        <f t="shared" si="15"/>
        <v>0</v>
      </c>
      <c r="G192" s="47"/>
      <c r="H192" s="52"/>
      <c r="L192" s="52"/>
      <c r="M192" s="52"/>
    </row>
    <row r="193" spans="1:13" ht="15" customHeight="1" x14ac:dyDescent="0.25">
      <c r="A193" s="90" t="s">
        <v>568</v>
      </c>
      <c r="B193" s="54" t="s">
        <v>139</v>
      </c>
      <c r="C193" s="113">
        <v>0</v>
      </c>
      <c r="D193" s="113"/>
      <c r="E193" s="48"/>
      <c r="F193" s="47">
        <f t="shared" si="15"/>
        <v>0</v>
      </c>
      <c r="G193" s="47"/>
      <c r="H193" s="52"/>
      <c r="L193" s="52"/>
      <c r="M193" s="52"/>
    </row>
    <row r="194" spans="1:13" ht="15" customHeight="1" x14ac:dyDescent="0.25">
      <c r="A194" s="90" t="s">
        <v>569</v>
      </c>
      <c r="B194" s="54" t="s">
        <v>119</v>
      </c>
      <c r="C194" s="113">
        <v>0</v>
      </c>
      <c r="D194" s="113"/>
      <c r="E194" s="48"/>
      <c r="F194" s="47">
        <f t="shared" si="15"/>
        <v>0</v>
      </c>
      <c r="G194" s="47"/>
      <c r="H194" s="52"/>
      <c r="L194" s="52"/>
      <c r="M194" s="52"/>
    </row>
    <row r="195" spans="1:13" ht="15" customHeight="1" x14ac:dyDescent="0.25">
      <c r="A195" s="90" t="s">
        <v>570</v>
      </c>
      <c r="B195" s="54" t="s">
        <v>120</v>
      </c>
      <c r="C195" s="113">
        <v>0</v>
      </c>
      <c r="D195" s="113"/>
      <c r="E195" s="48"/>
      <c r="F195" s="47">
        <f t="shared" si="15"/>
        <v>0</v>
      </c>
      <c r="G195" s="47"/>
      <c r="H195" s="52"/>
      <c r="L195" s="52"/>
      <c r="M195" s="52"/>
    </row>
    <row r="196" spans="1:13" ht="15" customHeight="1" x14ac:dyDescent="0.25">
      <c r="A196" s="90" t="s">
        <v>571</v>
      </c>
      <c r="B196" s="54" t="s">
        <v>121</v>
      </c>
      <c r="C196" s="113">
        <v>0</v>
      </c>
      <c r="D196" s="113"/>
      <c r="E196" s="48"/>
      <c r="F196" s="47">
        <f t="shared" si="15"/>
        <v>0</v>
      </c>
      <c r="G196" s="47"/>
      <c r="H196" s="52"/>
      <c r="L196" s="52"/>
      <c r="M196" s="52"/>
    </row>
    <row r="197" spans="1:13" ht="15" customHeight="1" x14ac:dyDescent="0.25">
      <c r="A197" s="90" t="s">
        <v>572</v>
      </c>
      <c r="B197" s="54" t="s">
        <v>122</v>
      </c>
      <c r="C197" s="113">
        <v>0</v>
      </c>
      <c r="D197" s="113"/>
      <c r="E197" s="48"/>
      <c r="F197" s="47">
        <f t="shared" si="15"/>
        <v>0</v>
      </c>
      <c r="G197" s="47"/>
      <c r="H197" s="52"/>
      <c r="L197" s="52"/>
      <c r="M197" s="52"/>
    </row>
    <row r="198" spans="1:13" ht="15" customHeight="1" x14ac:dyDescent="0.25">
      <c r="A198" s="90" t="s">
        <v>573</v>
      </c>
      <c r="B198" s="54" t="s">
        <v>125</v>
      </c>
      <c r="C198" s="113">
        <v>0</v>
      </c>
      <c r="D198" s="113"/>
      <c r="E198" s="48"/>
      <c r="F198" s="47">
        <f t="shared" si="15"/>
        <v>0</v>
      </c>
      <c r="G198" s="47"/>
      <c r="H198" s="52"/>
      <c r="L198" s="52"/>
      <c r="M198" s="52"/>
    </row>
    <row r="199" spans="1:13" ht="15" customHeight="1" x14ac:dyDescent="0.25">
      <c r="A199" s="90" t="s">
        <v>574</v>
      </c>
      <c r="B199" s="54" t="s">
        <v>123</v>
      </c>
      <c r="C199" s="113">
        <v>0</v>
      </c>
      <c r="D199" s="113"/>
      <c r="E199" s="48"/>
      <c r="F199" s="47">
        <f t="shared" si="15"/>
        <v>0</v>
      </c>
      <c r="G199" s="47"/>
      <c r="H199" s="52"/>
      <c r="L199" s="52"/>
      <c r="M199" s="52"/>
    </row>
    <row r="200" spans="1:13" ht="17.25" customHeight="1" x14ac:dyDescent="0.25">
      <c r="A200" s="90" t="s">
        <v>575</v>
      </c>
      <c r="B200" s="54" t="s">
        <v>2</v>
      </c>
      <c r="C200" s="113">
        <v>0</v>
      </c>
      <c r="D200" s="113"/>
      <c r="E200" s="48"/>
      <c r="F200" s="47">
        <f t="shared" si="15"/>
        <v>0</v>
      </c>
      <c r="G200" s="47"/>
      <c r="H200" s="52"/>
      <c r="L200" s="52"/>
      <c r="M200" s="52"/>
    </row>
    <row r="201" spans="1:13" ht="15" customHeight="1" x14ac:dyDescent="0.25">
      <c r="A201" s="90" t="s">
        <v>576</v>
      </c>
      <c r="B201" s="56" t="s">
        <v>202</v>
      </c>
      <c r="C201" s="113">
        <f>C187</f>
        <v>57555719.350000001</v>
      </c>
      <c r="D201" s="113"/>
      <c r="E201" s="48"/>
      <c r="F201" s="47">
        <f t="shared" si="15"/>
        <v>1</v>
      </c>
      <c r="G201" s="47"/>
      <c r="H201" s="52"/>
      <c r="L201" s="52"/>
      <c r="M201" s="52"/>
    </row>
    <row r="202" spans="1:13" ht="15" customHeight="1" x14ac:dyDescent="0.25">
      <c r="A202" s="90" t="s">
        <v>577</v>
      </c>
      <c r="B202" s="8" t="s">
        <v>1</v>
      </c>
      <c r="C202" s="113">
        <f>SUM(C187:C200)</f>
        <v>57555719.350000001</v>
      </c>
      <c r="D202" s="113"/>
      <c r="E202" s="48"/>
      <c r="F202" s="47">
        <f>SUM(F187:F200)</f>
        <v>1</v>
      </c>
      <c r="G202" s="47"/>
      <c r="H202" s="52"/>
      <c r="L202" s="52"/>
      <c r="M202" s="52"/>
    </row>
    <row r="203" spans="1:13" ht="15" customHeight="1" outlineLevel="1" x14ac:dyDescent="0.25">
      <c r="A203" s="90" t="s">
        <v>1089</v>
      </c>
      <c r="B203" s="67" t="s">
        <v>153</v>
      </c>
      <c r="C203" s="113"/>
      <c r="D203" s="113"/>
      <c r="E203" s="48"/>
      <c r="F203" s="47" t="str">
        <f t="shared" ref="F203:F209" si="16">IF($C$202=0,"",IF(C203="","",C203/$C$202))</f>
        <v/>
      </c>
      <c r="G203" s="47"/>
      <c r="H203" s="52"/>
      <c r="I203" s="90"/>
      <c r="J203" s="90"/>
      <c r="K203" s="90"/>
      <c r="L203" s="52"/>
      <c r="M203" s="52"/>
    </row>
    <row r="204" spans="1:13" ht="15" customHeight="1" outlineLevel="1" x14ac:dyDescent="0.25">
      <c r="A204" s="90" t="s">
        <v>1090</v>
      </c>
      <c r="B204" s="67" t="s">
        <v>153</v>
      </c>
      <c r="C204" s="113"/>
      <c r="D204" s="113"/>
      <c r="E204" s="48"/>
      <c r="F204" s="47" t="str">
        <f t="shared" si="16"/>
        <v/>
      </c>
      <c r="G204" s="47"/>
      <c r="H204" s="52"/>
      <c r="I204" s="90"/>
      <c r="J204" s="90"/>
      <c r="K204" s="90"/>
      <c r="L204" s="52"/>
      <c r="M204" s="52"/>
    </row>
    <row r="205" spans="1:13" ht="15" customHeight="1" outlineLevel="1" x14ac:dyDescent="0.25">
      <c r="A205" s="90" t="s">
        <v>1091</v>
      </c>
      <c r="B205" s="67" t="s">
        <v>153</v>
      </c>
      <c r="C205" s="113"/>
      <c r="D205" s="113"/>
      <c r="E205" s="48"/>
      <c r="F205" s="47" t="str">
        <f t="shared" si="16"/>
        <v/>
      </c>
      <c r="G205" s="47"/>
      <c r="H205" s="52"/>
      <c r="I205" s="90"/>
      <c r="J205" s="90"/>
      <c r="K205" s="90"/>
      <c r="L205" s="52"/>
      <c r="M205" s="52"/>
    </row>
    <row r="206" spans="1:13" ht="15" customHeight="1" outlineLevel="1" x14ac:dyDescent="0.25">
      <c r="A206" s="90" t="s">
        <v>1092</v>
      </c>
      <c r="B206" s="67" t="s">
        <v>153</v>
      </c>
      <c r="C206" s="113"/>
      <c r="D206" s="113"/>
      <c r="E206" s="48"/>
      <c r="F206" s="47" t="str">
        <f t="shared" si="16"/>
        <v/>
      </c>
      <c r="G206" s="47"/>
      <c r="H206" s="52"/>
      <c r="I206" s="90"/>
      <c r="J206" s="90"/>
      <c r="K206" s="90"/>
      <c r="L206" s="52"/>
      <c r="M206" s="52"/>
    </row>
    <row r="207" spans="1:13" ht="15" customHeight="1" outlineLevel="1" x14ac:dyDescent="0.25">
      <c r="A207" s="90" t="s">
        <v>1093</v>
      </c>
      <c r="B207" s="67" t="s">
        <v>153</v>
      </c>
      <c r="C207" s="113"/>
      <c r="D207" s="113"/>
      <c r="E207" s="48"/>
      <c r="F207" s="47" t="str">
        <f t="shared" si="16"/>
        <v/>
      </c>
      <c r="G207" s="47"/>
      <c r="H207" s="52"/>
      <c r="I207" s="90"/>
      <c r="J207" s="90"/>
      <c r="K207" s="90"/>
      <c r="L207" s="52"/>
      <c r="M207" s="52"/>
    </row>
    <row r="208" spans="1:13" ht="15" customHeight="1" outlineLevel="1" x14ac:dyDescent="0.25">
      <c r="A208" s="90" t="s">
        <v>1094</v>
      </c>
      <c r="B208" s="67" t="s">
        <v>153</v>
      </c>
      <c r="C208" s="113"/>
      <c r="D208" s="113"/>
      <c r="E208" s="48"/>
      <c r="F208" s="47" t="str">
        <f t="shared" si="16"/>
        <v/>
      </c>
      <c r="G208" s="47"/>
      <c r="H208" s="52"/>
      <c r="I208" s="90"/>
      <c r="J208" s="90"/>
      <c r="K208" s="90"/>
      <c r="L208" s="52"/>
      <c r="M208" s="52"/>
    </row>
    <row r="209" spans="1:13" ht="15" customHeight="1" outlineLevel="1" x14ac:dyDescent="0.25">
      <c r="A209" s="90" t="s">
        <v>1095</v>
      </c>
      <c r="B209" s="67" t="s">
        <v>153</v>
      </c>
      <c r="C209" s="113"/>
      <c r="D209" s="113"/>
      <c r="E209" s="48"/>
      <c r="F209" s="47" t="str">
        <f t="shared" si="16"/>
        <v/>
      </c>
      <c r="G209" s="47"/>
      <c r="H209" s="52"/>
      <c r="I209" s="90"/>
      <c r="J209" s="90"/>
      <c r="K209" s="90"/>
      <c r="L209" s="52"/>
      <c r="M209" s="52"/>
    </row>
    <row r="210" spans="1:13" ht="15" customHeight="1" x14ac:dyDescent="0.25">
      <c r="A210" s="58"/>
      <c r="B210" s="60" t="s">
        <v>686</v>
      </c>
      <c r="C210" s="58" t="s">
        <v>81</v>
      </c>
      <c r="D210" s="58"/>
      <c r="E210" s="46"/>
      <c r="F210" s="59" t="s">
        <v>144</v>
      </c>
      <c r="G210" s="59" t="s">
        <v>55</v>
      </c>
      <c r="H210" s="52"/>
      <c r="L210" s="52"/>
      <c r="M210" s="52"/>
    </row>
    <row r="211" spans="1:13" ht="15" customHeight="1" x14ac:dyDescent="0.25">
      <c r="A211" s="90" t="s">
        <v>578</v>
      </c>
      <c r="B211" s="7" t="s">
        <v>165</v>
      </c>
      <c r="C211" s="113">
        <v>0</v>
      </c>
      <c r="D211" s="113"/>
      <c r="E211" s="9"/>
      <c r="F211" s="47">
        <f>C211/$C$38</f>
        <v>0</v>
      </c>
      <c r="G211" s="47">
        <f>C211/$C$39</f>
        <v>0</v>
      </c>
      <c r="H211" s="52"/>
      <c r="L211" s="52"/>
      <c r="M211" s="52"/>
    </row>
    <row r="212" spans="1:13" ht="15" customHeight="1" x14ac:dyDescent="0.25">
      <c r="A212" s="90" t="s">
        <v>579</v>
      </c>
      <c r="B212" s="7" t="s">
        <v>164</v>
      </c>
      <c r="C212" s="113">
        <v>110000000</v>
      </c>
      <c r="D212" s="113"/>
      <c r="E212" s="9"/>
      <c r="F212" s="47">
        <f t="shared" ref="F212:F216" si="17">C212/$C$38</f>
        <v>1.4384322573242233E-2</v>
      </c>
      <c r="G212" s="47">
        <f t="shared" ref="G212:G216" si="18">C212/$C$39</f>
        <v>2.1226028529403241E-2</v>
      </c>
      <c r="H212" s="52"/>
      <c r="L212" s="52"/>
      <c r="M212" s="52"/>
    </row>
    <row r="213" spans="1:13" ht="15" customHeight="1" x14ac:dyDescent="0.25">
      <c r="A213" s="90" t="s">
        <v>580</v>
      </c>
      <c r="B213" s="7" t="s">
        <v>2</v>
      </c>
      <c r="C213" s="113">
        <v>0</v>
      </c>
      <c r="D213" s="113"/>
      <c r="E213" s="9"/>
      <c r="F213" s="47">
        <f t="shared" si="17"/>
        <v>0</v>
      </c>
      <c r="G213" s="47">
        <f t="shared" si="18"/>
        <v>0</v>
      </c>
      <c r="H213" s="52"/>
      <c r="L213" s="52"/>
      <c r="M213" s="52"/>
    </row>
    <row r="214" spans="1:13" ht="15" customHeight="1" x14ac:dyDescent="0.25">
      <c r="A214" s="90" t="s">
        <v>581</v>
      </c>
      <c r="B214" s="8" t="s">
        <v>1</v>
      </c>
      <c r="C214" s="113">
        <f>SUM(C211:C213)</f>
        <v>110000000</v>
      </c>
      <c r="D214" s="113"/>
      <c r="E214" s="9"/>
      <c r="F214" s="47">
        <f t="shared" si="17"/>
        <v>1.4384322573242233E-2</v>
      </c>
      <c r="G214" s="47">
        <f t="shared" si="18"/>
        <v>2.1226028529403241E-2</v>
      </c>
      <c r="H214" s="52"/>
      <c r="L214" s="52"/>
      <c r="M214" s="52"/>
    </row>
    <row r="215" spans="1:13" ht="15" customHeight="1" outlineLevel="1" x14ac:dyDescent="0.25">
      <c r="A215" s="90" t="s">
        <v>1082</v>
      </c>
      <c r="B215" s="67" t="s">
        <v>1319</v>
      </c>
      <c r="C215" s="113">
        <f>C214-C216</f>
        <v>57555719.350000001</v>
      </c>
      <c r="D215" s="113"/>
      <c r="E215" s="9"/>
      <c r="F215" s="47">
        <f t="shared" si="17"/>
        <v>7.5263639369581798E-3</v>
      </c>
      <c r="G215" s="47">
        <f t="shared" si="18"/>
        <v>1.1106175826849328E-2</v>
      </c>
      <c r="H215" s="52"/>
      <c r="I215" s="90"/>
      <c r="J215" s="90"/>
      <c r="K215" s="90"/>
      <c r="L215" s="52"/>
      <c r="M215" s="52"/>
    </row>
    <row r="216" spans="1:13" ht="15" customHeight="1" outlineLevel="1" x14ac:dyDescent="0.25">
      <c r="A216" s="90" t="s">
        <v>1083</v>
      </c>
      <c r="B216" s="67" t="s">
        <v>1320</v>
      </c>
      <c r="C216" s="113">
        <v>52444280.649999999</v>
      </c>
      <c r="D216" s="113"/>
      <c r="E216" s="9"/>
      <c r="F216" s="47">
        <f t="shared" si="17"/>
        <v>6.8579586362840532E-3</v>
      </c>
      <c r="G216" s="47">
        <f t="shared" si="18"/>
        <v>1.0119852702553911E-2</v>
      </c>
      <c r="H216" s="52"/>
      <c r="I216" s="90"/>
      <c r="J216" s="90"/>
      <c r="K216" s="90"/>
      <c r="L216" s="52"/>
      <c r="M216" s="52"/>
    </row>
    <row r="217" spans="1:13" ht="15" hidden="1" customHeight="1" outlineLevel="1" x14ac:dyDescent="0.25">
      <c r="A217" s="90" t="s">
        <v>1084</v>
      </c>
      <c r="B217" s="67" t="s">
        <v>153</v>
      </c>
      <c r="C217" s="113"/>
      <c r="D217" s="113"/>
      <c r="E217" s="9"/>
      <c r="F217" s="47" t="str">
        <f t="shared" ref="F217:F221" si="19">IF($C$214=0,"",IF(C217="","",C217/$C$214))</f>
        <v/>
      </c>
      <c r="G217" s="47" t="str">
        <f t="shared" ref="G217:G221" si="20">IF($C$214=0,"",IF(C217="","",C217/$C$214))</f>
        <v/>
      </c>
      <c r="H217" s="52"/>
      <c r="I217" s="90"/>
      <c r="J217" s="90"/>
      <c r="K217" s="90"/>
      <c r="L217" s="52"/>
      <c r="M217" s="52"/>
    </row>
    <row r="218" spans="1:13" ht="15" hidden="1" customHeight="1" outlineLevel="1" x14ac:dyDescent="0.25">
      <c r="A218" s="90" t="s">
        <v>1085</v>
      </c>
      <c r="B218" s="67" t="s">
        <v>153</v>
      </c>
      <c r="C218" s="113"/>
      <c r="D218" s="113"/>
      <c r="E218" s="9"/>
      <c r="F218" s="47" t="str">
        <f t="shared" si="19"/>
        <v/>
      </c>
      <c r="G218" s="47" t="str">
        <f t="shared" si="20"/>
        <v/>
      </c>
      <c r="H218" s="52"/>
      <c r="I218" s="90"/>
      <c r="J218" s="90"/>
      <c r="K218" s="90"/>
      <c r="L218" s="52"/>
      <c r="M218" s="52"/>
    </row>
    <row r="219" spans="1:13" ht="15" hidden="1" customHeight="1" outlineLevel="1" x14ac:dyDescent="0.25">
      <c r="A219" s="90" t="s">
        <v>1086</v>
      </c>
      <c r="B219" s="67" t="s">
        <v>153</v>
      </c>
      <c r="C219" s="113"/>
      <c r="D219" s="113"/>
      <c r="E219" s="9"/>
      <c r="F219" s="47" t="str">
        <f t="shared" si="19"/>
        <v/>
      </c>
      <c r="G219" s="47" t="str">
        <f t="shared" si="20"/>
        <v/>
      </c>
      <c r="H219" s="52"/>
      <c r="I219" s="90"/>
      <c r="J219" s="90"/>
      <c r="K219" s="90"/>
      <c r="L219" s="52"/>
      <c r="M219" s="52"/>
    </row>
    <row r="220" spans="1:13" ht="15" hidden="1" customHeight="1" outlineLevel="1" x14ac:dyDescent="0.25">
      <c r="A220" s="90" t="s">
        <v>1087</v>
      </c>
      <c r="B220" s="67" t="s">
        <v>153</v>
      </c>
      <c r="C220" s="113"/>
      <c r="D220" s="113"/>
      <c r="E220" s="86"/>
      <c r="F220" s="47" t="str">
        <f t="shared" si="19"/>
        <v/>
      </c>
      <c r="G220" s="47" t="str">
        <f t="shared" si="20"/>
        <v/>
      </c>
      <c r="H220" s="52"/>
      <c r="I220" s="90"/>
      <c r="J220" s="90"/>
      <c r="K220" s="90"/>
      <c r="L220" s="52"/>
      <c r="M220" s="52"/>
    </row>
    <row r="221" spans="1:13" ht="15" hidden="1" customHeight="1" outlineLevel="1" x14ac:dyDescent="0.25">
      <c r="A221" s="90" t="s">
        <v>1088</v>
      </c>
      <c r="B221" s="67" t="s">
        <v>153</v>
      </c>
      <c r="C221" s="113"/>
      <c r="D221" s="113"/>
      <c r="E221" s="9"/>
      <c r="F221" s="47" t="str">
        <f t="shared" si="19"/>
        <v/>
      </c>
      <c r="G221" s="47" t="str">
        <f t="shared" si="20"/>
        <v/>
      </c>
      <c r="H221" s="52"/>
      <c r="I221" s="90"/>
      <c r="J221" s="90"/>
      <c r="K221" s="90"/>
      <c r="L221" s="52"/>
      <c r="M221" s="52"/>
    </row>
    <row r="222" spans="1:13" ht="15" customHeight="1" collapsed="1" x14ac:dyDescent="0.25">
      <c r="A222" s="58"/>
      <c r="B222" s="60" t="s">
        <v>687</v>
      </c>
      <c r="C222" s="58"/>
      <c r="D222" s="58"/>
      <c r="E222" s="46"/>
      <c r="F222" s="59"/>
      <c r="G222" s="59"/>
      <c r="H222" s="52"/>
      <c r="J222" s="174"/>
      <c r="L222" s="52"/>
      <c r="M222" s="52"/>
    </row>
    <row r="223" spans="1:13" ht="34.5" customHeight="1" x14ac:dyDescent="0.25">
      <c r="A223" s="90" t="s">
        <v>582</v>
      </c>
      <c r="B223" s="86" t="s">
        <v>42</v>
      </c>
      <c r="C223" s="175" t="s">
        <v>1321</v>
      </c>
      <c r="D223" s="90"/>
      <c r="E223" s="90"/>
      <c r="F223" s="90"/>
      <c r="H223" s="52"/>
      <c r="I223" s="90"/>
      <c r="J223" s="90"/>
      <c r="K223" s="90"/>
      <c r="L223" s="52"/>
      <c r="M223" s="52"/>
    </row>
    <row r="224" spans="1:13" ht="15" customHeight="1" x14ac:dyDescent="0.25">
      <c r="A224" s="58"/>
      <c r="B224" s="60" t="s">
        <v>688</v>
      </c>
      <c r="C224" s="58"/>
      <c r="D224" s="58"/>
      <c r="E224" s="46"/>
      <c r="F224" s="59"/>
      <c r="G224" s="59"/>
      <c r="H224" s="52"/>
      <c r="L224" s="52"/>
      <c r="M224" s="52"/>
    </row>
    <row r="225" spans="1:14" ht="15" customHeight="1" x14ac:dyDescent="0.25">
      <c r="A225" s="90" t="s">
        <v>583</v>
      </c>
      <c r="B225" s="90" t="s">
        <v>245</v>
      </c>
      <c r="C225" s="113">
        <v>0</v>
      </c>
      <c r="E225" s="54"/>
      <c r="H225" s="52"/>
      <c r="L225" s="52"/>
      <c r="M225" s="52"/>
    </row>
    <row r="226" spans="1:14" ht="15" customHeight="1" x14ac:dyDescent="0.25">
      <c r="A226" s="90" t="s">
        <v>584</v>
      </c>
      <c r="B226" s="94" t="s">
        <v>234</v>
      </c>
      <c r="C226" s="113" t="s">
        <v>184</v>
      </c>
      <c r="E226" s="54"/>
      <c r="H226" s="52"/>
      <c r="L226" s="52"/>
      <c r="M226" s="52"/>
    </row>
    <row r="227" spans="1:14" ht="15" customHeight="1" x14ac:dyDescent="0.25">
      <c r="A227" s="90" t="s">
        <v>585</v>
      </c>
      <c r="B227" s="94" t="s">
        <v>235</v>
      </c>
      <c r="C227" s="113" t="s">
        <v>184</v>
      </c>
      <c r="E227" s="54"/>
      <c r="H227" s="52"/>
      <c r="L227" s="52"/>
      <c r="M227" s="52"/>
    </row>
    <row r="228" spans="1:14" ht="15" hidden="1" customHeight="1" outlineLevel="1" x14ac:dyDescent="0.25">
      <c r="A228" s="90" t="s">
        <v>586</v>
      </c>
      <c r="B228" s="91" t="s">
        <v>247</v>
      </c>
      <c r="C228" s="113"/>
      <c r="D228" s="54"/>
      <c r="E228" s="54"/>
      <c r="H228" s="52"/>
      <c r="L228" s="52"/>
      <c r="M228" s="52"/>
    </row>
    <row r="229" spans="1:14" ht="15" hidden="1" customHeight="1" outlineLevel="1" x14ac:dyDescent="0.25">
      <c r="A229" s="90" t="s">
        <v>587</v>
      </c>
      <c r="B229" s="91" t="s">
        <v>246</v>
      </c>
      <c r="C229" s="113"/>
      <c r="D229" s="86"/>
      <c r="E229" s="54"/>
      <c r="H229" s="52"/>
      <c r="L229" s="52"/>
      <c r="M229" s="52"/>
    </row>
    <row r="230" spans="1:14" ht="15" hidden="1" customHeight="1" outlineLevel="1" x14ac:dyDescent="0.25">
      <c r="A230" s="90" t="s">
        <v>588</v>
      </c>
      <c r="B230" s="91" t="s">
        <v>248</v>
      </c>
      <c r="C230" s="113"/>
      <c r="D230" s="54"/>
      <c r="E230" s="54"/>
      <c r="H230" s="52"/>
      <c r="L230" s="52"/>
      <c r="M230" s="52"/>
    </row>
    <row r="231" spans="1:14" ht="15" hidden="1" customHeight="1" outlineLevel="1" x14ac:dyDescent="0.25">
      <c r="A231" s="90" t="s">
        <v>589</v>
      </c>
      <c r="B231" s="90"/>
      <c r="C231" s="54"/>
      <c r="D231" s="54"/>
      <c r="E231" s="54"/>
      <c r="H231" s="52"/>
      <c r="L231" s="52"/>
      <c r="M231" s="52"/>
    </row>
    <row r="232" spans="1:14" ht="15" hidden="1" customHeight="1" outlineLevel="1" x14ac:dyDescent="0.25">
      <c r="A232" s="90" t="s">
        <v>590</v>
      </c>
      <c r="B232" s="90"/>
      <c r="C232" s="54"/>
      <c r="D232" s="54"/>
      <c r="E232" s="54"/>
      <c r="H232" s="52"/>
      <c r="L232" s="52"/>
      <c r="M232" s="52"/>
    </row>
    <row r="233" spans="1:14" ht="15" hidden="1" customHeight="1" outlineLevel="1" x14ac:dyDescent="0.25">
      <c r="A233" s="90" t="s">
        <v>591</v>
      </c>
      <c r="B233" s="90"/>
      <c r="D233" s="50"/>
      <c r="E233" s="50"/>
      <c r="F233" s="50"/>
      <c r="G233" s="50"/>
      <c r="H233" s="52"/>
      <c r="K233" s="63"/>
      <c r="L233" s="63"/>
      <c r="M233" s="63"/>
      <c r="N233" s="63"/>
    </row>
    <row r="234" spans="1:14" hidden="1" outlineLevel="1" x14ac:dyDescent="0.25">
      <c r="A234" s="90" t="s">
        <v>592</v>
      </c>
      <c r="B234" s="90"/>
      <c r="C234" s="90"/>
      <c r="D234" s="84"/>
      <c r="E234" s="84"/>
      <c r="F234" s="84"/>
      <c r="G234" s="84"/>
      <c r="H234" s="52"/>
      <c r="I234" s="90"/>
      <c r="J234" s="90"/>
      <c r="K234" s="63"/>
      <c r="L234" s="63"/>
      <c r="M234" s="63"/>
      <c r="N234" s="63"/>
    </row>
    <row r="235" spans="1:14" hidden="1" outlineLevel="1" x14ac:dyDescent="0.25">
      <c r="A235" s="90" t="s">
        <v>593</v>
      </c>
      <c r="B235" s="90"/>
      <c r="C235" s="90"/>
      <c r="D235" s="84"/>
      <c r="E235" s="84"/>
      <c r="F235" s="84"/>
      <c r="G235" s="84"/>
      <c r="H235" s="52"/>
      <c r="I235" s="90"/>
      <c r="J235" s="90"/>
      <c r="K235" s="63"/>
      <c r="L235" s="63"/>
      <c r="M235" s="63"/>
      <c r="N235" s="63"/>
    </row>
    <row r="236" spans="1:14" hidden="1" outlineLevel="1" x14ac:dyDescent="0.25">
      <c r="A236" s="90" t="s">
        <v>594</v>
      </c>
      <c r="B236" s="90"/>
      <c r="C236" s="90"/>
      <c r="D236" s="84"/>
      <c r="E236" s="84"/>
      <c r="F236" s="84"/>
      <c r="G236" s="84"/>
      <c r="H236" s="52"/>
      <c r="I236" s="90"/>
      <c r="J236" s="90"/>
      <c r="K236" s="63"/>
      <c r="L236" s="63"/>
      <c r="M236" s="63"/>
      <c r="N236" s="63"/>
    </row>
    <row r="237" spans="1:14" hidden="1" outlineLevel="1" x14ac:dyDescent="0.25">
      <c r="A237" s="90" t="s">
        <v>595</v>
      </c>
      <c r="B237" s="90"/>
      <c r="C237" s="90"/>
      <c r="D237" s="84"/>
      <c r="E237" s="84"/>
      <c r="F237" s="84"/>
      <c r="G237" s="84"/>
      <c r="H237" s="52"/>
      <c r="I237" s="90"/>
      <c r="J237" s="90"/>
      <c r="K237" s="63"/>
      <c r="L237" s="63"/>
      <c r="M237" s="63"/>
      <c r="N237" s="63"/>
    </row>
    <row r="238" spans="1:14" hidden="1" outlineLevel="1" x14ac:dyDescent="0.25">
      <c r="A238" s="90" t="s">
        <v>596</v>
      </c>
      <c r="B238" s="90"/>
      <c r="C238" s="90"/>
      <c r="D238" s="84"/>
      <c r="E238" s="84"/>
      <c r="F238" s="84"/>
      <c r="G238" s="84"/>
      <c r="H238" s="52"/>
      <c r="I238" s="90"/>
      <c r="J238" s="90"/>
      <c r="K238" s="63"/>
      <c r="L238" s="63"/>
      <c r="M238" s="63"/>
      <c r="N238" s="63"/>
    </row>
    <row r="239" spans="1:14" hidden="1" outlineLevel="1" x14ac:dyDescent="0.25">
      <c r="A239" s="90" t="s">
        <v>597</v>
      </c>
      <c r="B239" s="90"/>
      <c r="C239" s="90"/>
      <c r="D239" s="84"/>
      <c r="E239" s="84"/>
      <c r="F239" s="84"/>
      <c r="G239" s="84"/>
      <c r="H239" s="52"/>
      <c r="I239" s="90"/>
      <c r="J239" s="90"/>
      <c r="K239" s="63"/>
      <c r="L239" s="63"/>
      <c r="M239" s="63"/>
      <c r="N239" s="63"/>
    </row>
    <row r="240" spans="1:14" hidden="1" outlineLevel="1" x14ac:dyDescent="0.25">
      <c r="A240" s="90" t="s">
        <v>598</v>
      </c>
      <c r="B240" s="90"/>
      <c r="C240" s="90"/>
      <c r="D240" s="84"/>
      <c r="E240" s="84"/>
      <c r="F240" s="84"/>
      <c r="G240" s="84"/>
      <c r="H240" s="52"/>
      <c r="I240" s="90"/>
      <c r="J240" s="90"/>
      <c r="K240" s="63"/>
      <c r="L240" s="63"/>
      <c r="M240" s="63"/>
      <c r="N240" s="63"/>
    </row>
    <row r="241" spans="1:14" hidden="1" outlineLevel="1" x14ac:dyDescent="0.25">
      <c r="A241" s="90" t="s">
        <v>599</v>
      </c>
      <c r="B241" s="90"/>
      <c r="C241" s="90"/>
      <c r="D241" s="84"/>
      <c r="E241" s="84"/>
      <c r="F241" s="84"/>
      <c r="G241" s="84"/>
      <c r="H241" s="52"/>
      <c r="I241" s="90"/>
      <c r="J241" s="90"/>
      <c r="K241" s="63"/>
      <c r="L241" s="63"/>
      <c r="M241" s="63"/>
      <c r="N241" s="63"/>
    </row>
    <row r="242" spans="1:14" hidden="1" outlineLevel="1" x14ac:dyDescent="0.25">
      <c r="A242" s="90" t="s">
        <v>600</v>
      </c>
      <c r="B242" s="90"/>
      <c r="C242" s="90"/>
      <c r="D242" s="84"/>
      <c r="E242" s="84"/>
      <c r="F242" s="84"/>
      <c r="G242" s="84"/>
      <c r="H242" s="52"/>
      <c r="I242" s="90"/>
      <c r="J242" s="90"/>
      <c r="K242" s="63"/>
      <c r="L242" s="63"/>
      <c r="M242" s="63"/>
      <c r="N242" s="63"/>
    </row>
    <row r="243" spans="1:14" hidden="1" outlineLevel="1" x14ac:dyDescent="0.25">
      <c r="A243" s="90" t="s">
        <v>601</v>
      </c>
      <c r="B243" s="90"/>
      <c r="C243" s="90"/>
      <c r="D243" s="84"/>
      <c r="E243" s="84"/>
      <c r="F243" s="84"/>
      <c r="G243" s="84"/>
      <c r="H243" s="52"/>
      <c r="I243" s="90"/>
      <c r="J243" s="90"/>
      <c r="K243" s="63"/>
      <c r="L243" s="63"/>
      <c r="M243" s="63"/>
      <c r="N243" s="63"/>
    </row>
    <row r="244" spans="1:14" hidden="1" outlineLevel="1" x14ac:dyDescent="0.25">
      <c r="A244" s="90" t="s">
        <v>602</v>
      </c>
      <c r="B244" s="90"/>
      <c r="C244" s="90"/>
      <c r="D244" s="84"/>
      <c r="E244" s="84"/>
      <c r="F244" s="84"/>
      <c r="G244" s="84"/>
      <c r="H244" s="52"/>
      <c r="I244" s="90"/>
      <c r="J244" s="90"/>
      <c r="K244" s="63"/>
      <c r="L244" s="63"/>
      <c r="M244" s="63"/>
      <c r="N244" s="63"/>
    </row>
    <row r="245" spans="1:14" hidden="1" outlineLevel="1" x14ac:dyDescent="0.25">
      <c r="A245" s="90" t="s">
        <v>603</v>
      </c>
      <c r="B245" s="90"/>
      <c r="C245" s="90"/>
      <c r="D245" s="84"/>
      <c r="E245" s="84"/>
      <c r="F245" s="84"/>
      <c r="G245" s="84"/>
      <c r="H245" s="52"/>
      <c r="I245" s="90"/>
      <c r="J245" s="90"/>
      <c r="K245" s="63"/>
      <c r="L245" s="63"/>
      <c r="M245" s="63"/>
      <c r="N245" s="63"/>
    </row>
    <row r="246" spans="1:14" hidden="1" outlineLevel="1" x14ac:dyDescent="0.25">
      <c r="A246" s="90" t="s">
        <v>604</v>
      </c>
      <c r="B246" s="90"/>
      <c r="C246" s="90"/>
      <c r="D246" s="84"/>
      <c r="E246" s="84"/>
      <c r="F246" s="84"/>
      <c r="G246" s="84"/>
      <c r="H246" s="52"/>
      <c r="I246" s="90"/>
      <c r="J246" s="90"/>
      <c r="K246" s="63"/>
      <c r="L246" s="63"/>
      <c r="M246" s="63"/>
      <c r="N246" s="63"/>
    </row>
    <row r="247" spans="1:14" hidden="1" outlineLevel="1" x14ac:dyDescent="0.25">
      <c r="A247" s="90" t="s">
        <v>605</v>
      </c>
      <c r="B247" s="90"/>
      <c r="C247" s="90"/>
      <c r="D247" s="84"/>
      <c r="E247" s="84"/>
      <c r="F247" s="84"/>
      <c r="G247" s="84"/>
      <c r="H247" s="52"/>
      <c r="I247" s="90"/>
      <c r="J247" s="90"/>
      <c r="K247" s="63"/>
      <c r="L247" s="63"/>
      <c r="M247" s="63"/>
      <c r="N247" s="63"/>
    </row>
    <row r="248" spans="1:14" hidden="1" outlineLevel="1" x14ac:dyDescent="0.25">
      <c r="A248" s="90" t="s">
        <v>606</v>
      </c>
      <c r="B248" s="90"/>
      <c r="C248" s="90"/>
      <c r="D248" s="84"/>
      <c r="E248" s="84"/>
      <c r="F248" s="84"/>
      <c r="G248" s="84"/>
      <c r="H248" s="52"/>
      <c r="I248" s="90"/>
      <c r="J248" s="90"/>
      <c r="K248" s="63"/>
      <c r="L248" s="63"/>
      <c r="M248" s="63"/>
      <c r="N248" s="63"/>
    </row>
    <row r="249" spans="1:14" hidden="1" outlineLevel="1" x14ac:dyDescent="0.25">
      <c r="A249" s="90" t="s">
        <v>607</v>
      </c>
      <c r="B249" s="90"/>
      <c r="C249" s="90"/>
      <c r="D249" s="84"/>
      <c r="E249" s="84"/>
      <c r="F249" s="84"/>
      <c r="G249" s="84"/>
      <c r="H249" s="52"/>
      <c r="I249" s="90"/>
      <c r="J249" s="90"/>
      <c r="K249" s="63"/>
      <c r="L249" s="63"/>
      <c r="M249" s="63"/>
      <c r="N249" s="63"/>
    </row>
    <row r="250" spans="1:14" hidden="1" outlineLevel="1" x14ac:dyDescent="0.25">
      <c r="A250" s="90" t="s">
        <v>608</v>
      </c>
      <c r="B250" s="90"/>
      <c r="C250" s="90"/>
      <c r="D250" s="84"/>
      <c r="E250" s="84"/>
      <c r="F250" s="84"/>
      <c r="G250" s="84"/>
      <c r="H250" s="52"/>
      <c r="I250" s="90"/>
      <c r="J250" s="90"/>
      <c r="K250" s="63"/>
      <c r="L250" s="63"/>
      <c r="M250" s="63"/>
      <c r="N250" s="63"/>
    </row>
    <row r="251" spans="1:14" hidden="1" outlineLevel="1" x14ac:dyDescent="0.25">
      <c r="A251" s="90" t="s">
        <v>609</v>
      </c>
      <c r="B251" s="90"/>
      <c r="C251" s="90"/>
      <c r="D251" s="84"/>
      <c r="E251" s="84"/>
      <c r="F251" s="84"/>
      <c r="G251" s="84"/>
      <c r="H251" s="52"/>
      <c r="I251" s="90"/>
      <c r="J251" s="90"/>
      <c r="K251" s="63"/>
      <c r="L251" s="63"/>
      <c r="M251" s="63"/>
      <c r="N251" s="63"/>
    </row>
    <row r="252" spans="1:14" hidden="1" outlineLevel="1" x14ac:dyDescent="0.25">
      <c r="A252" s="90" t="s">
        <v>610</v>
      </c>
      <c r="B252" s="90"/>
      <c r="C252" s="90"/>
      <c r="D252" s="84"/>
      <c r="E252" s="84"/>
      <c r="F252" s="84"/>
      <c r="G252" s="84"/>
      <c r="H252" s="52"/>
      <c r="I252" s="90"/>
      <c r="J252" s="90"/>
      <c r="K252" s="63"/>
      <c r="L252" s="63"/>
      <c r="M252" s="63"/>
      <c r="N252" s="63"/>
    </row>
    <row r="253" spans="1:14" hidden="1" outlineLevel="1" x14ac:dyDescent="0.25">
      <c r="A253" s="90" t="s">
        <v>611</v>
      </c>
      <c r="B253" s="90"/>
      <c r="C253" s="90"/>
      <c r="D253" s="84"/>
      <c r="E253" s="84"/>
      <c r="F253" s="84"/>
      <c r="G253" s="84"/>
      <c r="H253" s="52"/>
      <c r="I253" s="90"/>
      <c r="J253" s="90"/>
      <c r="K253" s="63"/>
      <c r="L253" s="63"/>
      <c r="M253" s="63"/>
      <c r="N253" s="63"/>
    </row>
    <row r="254" spans="1:14" hidden="1" outlineLevel="1" x14ac:dyDescent="0.25">
      <c r="A254" s="90" t="s">
        <v>612</v>
      </c>
      <c r="B254" s="90"/>
      <c r="C254" s="90"/>
      <c r="D254" s="84"/>
      <c r="E254" s="84"/>
      <c r="F254" s="84"/>
      <c r="G254" s="84"/>
      <c r="H254" s="52"/>
      <c r="I254" s="90"/>
      <c r="J254" s="90"/>
      <c r="K254" s="63"/>
      <c r="L254" s="63"/>
      <c r="M254" s="63"/>
      <c r="N254" s="63"/>
    </row>
    <row r="255" spans="1:14" hidden="1" outlineLevel="1" x14ac:dyDescent="0.25">
      <c r="A255" s="90" t="s">
        <v>613</v>
      </c>
      <c r="B255" s="90"/>
      <c r="C255" s="90"/>
      <c r="D255" s="84"/>
      <c r="E255" s="84"/>
      <c r="F255" s="84"/>
      <c r="G255" s="84"/>
      <c r="H255" s="52"/>
      <c r="I255" s="90"/>
      <c r="J255" s="90"/>
      <c r="K255" s="63"/>
      <c r="L255" s="63"/>
      <c r="M255" s="63"/>
      <c r="N255" s="63"/>
    </row>
    <row r="256" spans="1:14" hidden="1" outlineLevel="1" x14ac:dyDescent="0.25">
      <c r="A256" s="90" t="s">
        <v>614</v>
      </c>
      <c r="B256" s="90"/>
      <c r="C256" s="90"/>
      <c r="D256" s="84"/>
      <c r="E256" s="84"/>
      <c r="F256" s="84"/>
      <c r="G256" s="84"/>
      <c r="H256" s="52"/>
      <c r="I256" s="90"/>
      <c r="J256" s="90"/>
      <c r="K256" s="63"/>
      <c r="L256" s="63"/>
      <c r="M256" s="63"/>
      <c r="N256" s="63"/>
    </row>
    <row r="257" spans="1:14" hidden="1" outlineLevel="1" x14ac:dyDescent="0.25">
      <c r="A257" s="90" t="s">
        <v>615</v>
      </c>
      <c r="B257" s="90"/>
      <c r="C257" s="90"/>
      <c r="D257" s="84"/>
      <c r="E257" s="84"/>
      <c r="F257" s="84"/>
      <c r="G257" s="84"/>
      <c r="H257" s="52"/>
      <c r="I257" s="90"/>
      <c r="J257" s="90"/>
      <c r="K257" s="63"/>
      <c r="L257" s="63"/>
      <c r="M257" s="63"/>
      <c r="N257" s="63"/>
    </row>
    <row r="258" spans="1:14" hidden="1" outlineLevel="1" x14ac:dyDescent="0.25">
      <c r="A258" s="90" t="s">
        <v>616</v>
      </c>
      <c r="B258" s="90"/>
      <c r="C258" s="90"/>
      <c r="D258" s="84"/>
      <c r="E258" s="84"/>
      <c r="F258" s="84"/>
      <c r="G258" s="84"/>
      <c r="H258" s="52"/>
      <c r="I258" s="90"/>
      <c r="J258" s="90"/>
      <c r="K258" s="63"/>
      <c r="L258" s="63"/>
      <c r="M258" s="63"/>
      <c r="N258" s="63"/>
    </row>
    <row r="259" spans="1:14" hidden="1" outlineLevel="1" x14ac:dyDescent="0.25">
      <c r="A259" s="90" t="s">
        <v>617</v>
      </c>
      <c r="B259" s="90"/>
      <c r="C259" s="90"/>
      <c r="D259" s="84"/>
      <c r="E259" s="84"/>
      <c r="F259" s="84"/>
      <c r="G259" s="84"/>
      <c r="H259" s="52"/>
      <c r="I259" s="90"/>
      <c r="J259" s="90"/>
      <c r="K259" s="63"/>
      <c r="L259" s="63"/>
      <c r="M259" s="63"/>
      <c r="N259" s="63"/>
    </row>
    <row r="260" spans="1:14" hidden="1" outlineLevel="1" x14ac:dyDescent="0.25">
      <c r="A260" s="90" t="s">
        <v>618</v>
      </c>
      <c r="B260" s="90"/>
      <c r="C260" s="90"/>
      <c r="D260" s="84"/>
      <c r="E260" s="84"/>
      <c r="F260" s="84"/>
      <c r="G260" s="84"/>
      <c r="H260" s="52"/>
      <c r="I260" s="90"/>
      <c r="J260" s="90"/>
      <c r="K260" s="63"/>
      <c r="L260" s="63"/>
      <c r="M260" s="63"/>
      <c r="N260" s="63"/>
    </row>
    <row r="261" spans="1:14" hidden="1" outlineLevel="1" x14ac:dyDescent="0.25">
      <c r="A261" s="90" t="s">
        <v>619</v>
      </c>
      <c r="B261" s="90"/>
      <c r="C261" s="90"/>
      <c r="D261" s="84"/>
      <c r="E261" s="84"/>
      <c r="F261" s="84"/>
      <c r="G261" s="84"/>
      <c r="H261" s="52"/>
      <c r="I261" s="90"/>
      <c r="J261" s="90"/>
      <c r="K261" s="63"/>
      <c r="L261" s="63"/>
      <c r="M261" s="63"/>
      <c r="N261" s="63"/>
    </row>
    <row r="262" spans="1:14" hidden="1" outlineLevel="1" x14ac:dyDescent="0.25">
      <c r="A262" s="90" t="s">
        <v>620</v>
      </c>
      <c r="B262" s="90"/>
      <c r="C262" s="90"/>
      <c r="D262" s="84"/>
      <c r="E262" s="84"/>
      <c r="F262" s="84"/>
      <c r="G262" s="84"/>
      <c r="H262" s="52"/>
      <c r="I262" s="90"/>
      <c r="J262" s="90"/>
      <c r="K262" s="63"/>
      <c r="L262" s="63"/>
      <c r="M262" s="63"/>
      <c r="N262" s="63"/>
    </row>
    <row r="263" spans="1:14" hidden="1" outlineLevel="1" x14ac:dyDescent="0.25">
      <c r="A263" s="90" t="s">
        <v>621</v>
      </c>
      <c r="B263" s="90"/>
      <c r="C263" s="90"/>
      <c r="D263" s="84"/>
      <c r="E263" s="84"/>
      <c r="F263" s="84"/>
      <c r="G263" s="84"/>
      <c r="H263" s="52"/>
      <c r="I263" s="90"/>
      <c r="J263" s="90"/>
      <c r="K263" s="63"/>
      <c r="L263" s="63"/>
      <c r="M263" s="63"/>
      <c r="N263" s="63"/>
    </row>
    <row r="264" spans="1:14" hidden="1" outlineLevel="1" x14ac:dyDescent="0.25">
      <c r="A264" s="90" t="s">
        <v>622</v>
      </c>
      <c r="B264" s="90"/>
      <c r="C264" s="90"/>
      <c r="D264" s="84"/>
      <c r="E264" s="84"/>
      <c r="F264" s="84"/>
      <c r="G264" s="84"/>
      <c r="H264" s="52"/>
      <c r="I264" s="90"/>
      <c r="J264" s="90"/>
      <c r="K264" s="63"/>
      <c r="L264" s="63"/>
      <c r="M264" s="63"/>
      <c r="N264" s="63"/>
    </row>
    <row r="265" spans="1:14" hidden="1" outlineLevel="1" x14ac:dyDescent="0.25">
      <c r="A265" s="90" t="s">
        <v>623</v>
      </c>
      <c r="B265" s="90"/>
      <c r="C265" s="90"/>
      <c r="D265" s="84"/>
      <c r="E265" s="84"/>
      <c r="F265" s="84"/>
      <c r="G265" s="84"/>
      <c r="H265" s="52"/>
      <c r="I265" s="90"/>
      <c r="J265" s="90"/>
      <c r="K265" s="63"/>
      <c r="L265" s="63"/>
      <c r="M265" s="63"/>
      <c r="N265" s="63"/>
    </row>
    <row r="266" spans="1:14" hidden="1" outlineLevel="1" x14ac:dyDescent="0.25">
      <c r="A266" s="90" t="s">
        <v>624</v>
      </c>
      <c r="B266" s="90"/>
      <c r="C266" s="90"/>
      <c r="D266" s="84"/>
      <c r="E266" s="84"/>
      <c r="F266" s="84"/>
      <c r="G266" s="84"/>
      <c r="H266" s="52"/>
      <c r="I266" s="90"/>
      <c r="J266" s="90"/>
      <c r="K266" s="63"/>
      <c r="L266" s="63"/>
      <c r="M266" s="63"/>
      <c r="N266" s="63"/>
    </row>
    <row r="267" spans="1:14" hidden="1" outlineLevel="1" x14ac:dyDescent="0.25">
      <c r="A267" s="90" t="s">
        <v>625</v>
      </c>
      <c r="B267" s="90"/>
      <c r="C267" s="90"/>
      <c r="D267" s="84"/>
      <c r="E267" s="84"/>
      <c r="F267" s="84"/>
      <c r="G267" s="84"/>
      <c r="H267" s="52"/>
      <c r="I267" s="90"/>
      <c r="J267" s="90"/>
      <c r="K267" s="63"/>
      <c r="L267" s="63"/>
      <c r="M267" s="63"/>
      <c r="N267" s="63"/>
    </row>
    <row r="268" spans="1:14" hidden="1" outlineLevel="1" x14ac:dyDescent="0.25">
      <c r="A268" s="90" t="s">
        <v>626</v>
      </c>
      <c r="B268" s="90"/>
      <c r="C268" s="90"/>
      <c r="D268" s="84"/>
      <c r="E268" s="84"/>
      <c r="F268" s="84"/>
      <c r="G268" s="84"/>
      <c r="H268" s="52"/>
      <c r="I268" s="90"/>
      <c r="J268" s="90"/>
      <c r="K268" s="63"/>
      <c r="L268" s="63"/>
      <c r="M268" s="63"/>
      <c r="N268" s="63"/>
    </row>
    <row r="269" spans="1:14" hidden="1" outlineLevel="1" x14ac:dyDescent="0.25">
      <c r="A269" s="90" t="s">
        <v>627</v>
      </c>
      <c r="B269" s="90"/>
      <c r="C269" s="90"/>
      <c r="D269" s="84"/>
      <c r="E269" s="84"/>
      <c r="F269" s="84"/>
      <c r="G269" s="84"/>
      <c r="H269" s="52"/>
      <c r="I269" s="90"/>
      <c r="J269" s="90"/>
      <c r="K269" s="63"/>
      <c r="L269" s="63"/>
      <c r="M269" s="63"/>
      <c r="N269" s="63"/>
    </row>
    <row r="270" spans="1:14" hidden="1" outlineLevel="1" x14ac:dyDescent="0.25">
      <c r="A270" s="90" t="s">
        <v>628</v>
      </c>
      <c r="B270" s="90"/>
      <c r="C270" s="90"/>
      <c r="D270" s="84"/>
      <c r="E270" s="84"/>
      <c r="F270" s="84"/>
      <c r="G270" s="84"/>
      <c r="H270" s="52"/>
      <c r="I270" s="90"/>
      <c r="J270" s="90"/>
      <c r="K270" s="63"/>
      <c r="L270" s="63"/>
      <c r="M270" s="63"/>
      <c r="N270" s="63"/>
    </row>
    <row r="271" spans="1:14" hidden="1" outlineLevel="1" x14ac:dyDescent="0.25">
      <c r="A271" s="90" t="s">
        <v>629</v>
      </c>
      <c r="B271" s="90"/>
      <c r="C271" s="90"/>
      <c r="D271" s="84"/>
      <c r="E271" s="84"/>
      <c r="F271" s="84"/>
      <c r="G271" s="84"/>
      <c r="H271" s="52"/>
      <c r="I271" s="90"/>
      <c r="J271" s="90"/>
      <c r="K271" s="63"/>
      <c r="L271" s="63"/>
      <c r="M271" s="63"/>
      <c r="N271" s="63"/>
    </row>
    <row r="272" spans="1:14" hidden="1" outlineLevel="1" x14ac:dyDescent="0.25">
      <c r="A272" s="90" t="s">
        <v>630</v>
      </c>
      <c r="B272" s="90"/>
      <c r="C272" s="90"/>
      <c r="D272" s="84"/>
      <c r="E272" s="84"/>
      <c r="F272" s="84"/>
      <c r="G272" s="84"/>
      <c r="H272" s="52"/>
      <c r="I272" s="90"/>
      <c r="J272" s="90"/>
      <c r="K272" s="63"/>
      <c r="L272" s="63"/>
      <c r="M272" s="63"/>
      <c r="N272" s="63"/>
    </row>
    <row r="273" spans="1:14" hidden="1" outlineLevel="1" x14ac:dyDescent="0.25">
      <c r="A273" s="90" t="s">
        <v>631</v>
      </c>
      <c r="B273" s="90"/>
      <c r="C273" s="90"/>
      <c r="D273" s="84"/>
      <c r="E273" s="84"/>
      <c r="F273" s="84"/>
      <c r="G273" s="84"/>
      <c r="H273" s="52"/>
      <c r="I273" s="90"/>
      <c r="J273" s="90"/>
      <c r="K273" s="63"/>
      <c r="L273" s="63"/>
      <c r="M273" s="63"/>
      <c r="N273" s="63"/>
    </row>
    <row r="274" spans="1:14" hidden="1" outlineLevel="1" x14ac:dyDescent="0.25">
      <c r="A274" s="90" t="s">
        <v>632</v>
      </c>
      <c r="B274" s="90"/>
      <c r="C274" s="90"/>
      <c r="D274" s="84"/>
      <c r="E274" s="84"/>
      <c r="F274" s="84"/>
      <c r="G274" s="84"/>
      <c r="H274" s="52"/>
      <c r="I274" s="90"/>
      <c r="J274" s="90"/>
      <c r="K274" s="63"/>
      <c r="L274" s="63"/>
      <c r="M274" s="63"/>
      <c r="N274" s="63"/>
    </row>
    <row r="275" spans="1:14" hidden="1" outlineLevel="1" x14ac:dyDescent="0.25">
      <c r="A275" s="90" t="s">
        <v>633</v>
      </c>
      <c r="B275" s="90"/>
      <c r="C275" s="90"/>
      <c r="D275" s="84"/>
      <c r="E275" s="84"/>
      <c r="F275" s="84"/>
      <c r="G275" s="84"/>
      <c r="H275" s="52"/>
      <c r="I275" s="90"/>
      <c r="J275" s="90"/>
      <c r="K275" s="63"/>
      <c r="L275" s="63"/>
      <c r="M275" s="63"/>
      <c r="N275" s="63"/>
    </row>
    <row r="276" spans="1:14" hidden="1" outlineLevel="1" x14ac:dyDescent="0.25">
      <c r="A276" s="90" t="s">
        <v>634</v>
      </c>
      <c r="B276" s="90"/>
      <c r="C276" s="90"/>
      <c r="D276" s="84"/>
      <c r="E276" s="84"/>
      <c r="F276" s="84"/>
      <c r="G276" s="84"/>
      <c r="H276" s="52"/>
      <c r="I276" s="90"/>
      <c r="J276" s="90"/>
      <c r="K276" s="63"/>
      <c r="L276" s="63"/>
      <c r="M276" s="63"/>
      <c r="N276" s="63"/>
    </row>
    <row r="277" spans="1:14" hidden="1" outlineLevel="1" x14ac:dyDescent="0.25">
      <c r="A277" s="90" t="s">
        <v>635</v>
      </c>
      <c r="B277" s="90"/>
      <c r="C277" s="90"/>
      <c r="D277" s="84"/>
      <c r="E277" s="84"/>
      <c r="F277" s="84"/>
      <c r="G277" s="84"/>
      <c r="H277" s="52"/>
      <c r="I277" s="90"/>
      <c r="J277" s="90"/>
      <c r="K277" s="63"/>
      <c r="L277" s="63"/>
      <c r="M277" s="63"/>
      <c r="N277" s="63"/>
    </row>
    <row r="278" spans="1:14" hidden="1" outlineLevel="1" x14ac:dyDescent="0.25">
      <c r="A278" s="90" t="s">
        <v>636</v>
      </c>
      <c r="B278" s="90"/>
      <c r="C278" s="90"/>
      <c r="D278" s="84"/>
      <c r="E278" s="84"/>
      <c r="F278" s="84"/>
      <c r="G278" s="84"/>
      <c r="H278" s="52"/>
      <c r="I278" s="90"/>
      <c r="J278" s="90"/>
      <c r="K278" s="63"/>
      <c r="L278" s="63"/>
      <c r="M278" s="63"/>
      <c r="N278" s="63"/>
    </row>
    <row r="279" spans="1:14" ht="37.5" collapsed="1" x14ac:dyDescent="0.25">
      <c r="A279" s="18"/>
      <c r="B279" s="18" t="s">
        <v>211</v>
      </c>
      <c r="C279" s="18" t="s">
        <v>73</v>
      </c>
      <c r="D279" s="18" t="s">
        <v>73</v>
      </c>
      <c r="E279" s="18"/>
      <c r="F279" s="15"/>
      <c r="G279" s="16"/>
      <c r="H279" s="52"/>
      <c r="I279" s="61"/>
      <c r="J279" s="61"/>
      <c r="K279" s="61"/>
      <c r="L279" s="61"/>
      <c r="M279" s="3"/>
    </row>
    <row r="280" spans="1:14" ht="18.75" x14ac:dyDescent="0.25">
      <c r="A280" s="95" t="s">
        <v>236</v>
      </c>
      <c r="B280" s="96"/>
      <c r="C280" s="96"/>
      <c r="D280" s="96"/>
      <c r="E280" s="96"/>
      <c r="F280" s="97"/>
      <c r="G280" s="96"/>
      <c r="H280" s="52"/>
      <c r="I280" s="61"/>
      <c r="J280" s="61"/>
      <c r="K280" s="61"/>
      <c r="L280" s="61"/>
      <c r="M280" s="3"/>
    </row>
    <row r="281" spans="1:14" ht="18.75" x14ac:dyDescent="0.25">
      <c r="A281" s="95" t="s">
        <v>237</v>
      </c>
      <c r="B281" s="96"/>
      <c r="C281" s="96"/>
      <c r="D281" s="96"/>
      <c r="E281" s="96"/>
      <c r="F281" s="97"/>
      <c r="G281" s="96"/>
      <c r="H281" s="52"/>
      <c r="I281" s="61"/>
      <c r="J281" s="61"/>
      <c r="K281" s="61"/>
      <c r="L281" s="61"/>
      <c r="M281" s="3"/>
    </row>
    <row r="282" spans="1:14" x14ac:dyDescent="0.25">
      <c r="A282" s="90" t="s">
        <v>637</v>
      </c>
      <c r="B282" s="49" t="s">
        <v>65</v>
      </c>
      <c r="C282" s="62">
        <f>ROW(B38)</f>
        <v>38</v>
      </c>
      <c r="E282" s="57"/>
      <c r="F282" s="57"/>
      <c r="G282" s="57"/>
      <c r="H282" s="52"/>
      <c r="I282" s="49"/>
      <c r="J282" s="62"/>
      <c r="L282" s="57"/>
      <c r="M282" s="57"/>
      <c r="N282" s="57"/>
    </row>
    <row r="283" spans="1:14" x14ac:dyDescent="0.25">
      <c r="A283" s="90" t="s">
        <v>638</v>
      </c>
      <c r="B283" s="49" t="s">
        <v>66</v>
      </c>
      <c r="C283" s="62">
        <f>ROW(B39)</f>
        <v>39</v>
      </c>
      <c r="E283" s="57"/>
      <c r="F283" s="57"/>
      <c r="H283" s="52"/>
      <c r="I283" s="49"/>
      <c r="J283" s="62"/>
      <c r="L283" s="57"/>
      <c r="M283" s="57"/>
    </row>
    <row r="284" spans="1:14" x14ac:dyDescent="0.25">
      <c r="A284" s="90" t="s">
        <v>639</v>
      </c>
      <c r="B284" s="49" t="s">
        <v>45</v>
      </c>
      <c r="C284" s="62" t="str">
        <f>ROW('B1. HTT Mortgage Assets'!B43)&amp; " for Mortgage Assets"</f>
        <v>43 for Mortgage Assets</v>
      </c>
      <c r="D284" s="62"/>
      <c r="E284" s="39"/>
      <c r="F284" s="57"/>
      <c r="G284" s="39"/>
      <c r="H284" s="52"/>
      <c r="I284" s="49"/>
      <c r="J284" s="62"/>
      <c r="K284" s="62"/>
      <c r="L284" s="39"/>
      <c r="M284" s="57"/>
      <c r="N284" s="39"/>
    </row>
    <row r="285" spans="1:14" x14ac:dyDescent="0.25">
      <c r="A285" s="90" t="s">
        <v>640</v>
      </c>
      <c r="B285" s="49" t="s">
        <v>67</v>
      </c>
      <c r="C285" s="62">
        <f>ROW(B52)</f>
        <v>52</v>
      </c>
      <c r="H285" s="52"/>
      <c r="I285" s="49"/>
      <c r="J285" s="62"/>
    </row>
    <row r="286" spans="1:14" ht="30" x14ac:dyDescent="0.25">
      <c r="A286" s="90" t="s">
        <v>641</v>
      </c>
      <c r="B286" s="49" t="s">
        <v>68</v>
      </c>
      <c r="C286" s="83" t="str">
        <f>ROW('B1. HTT Mortgage Assets'!B167)&amp;" for Residential Mortgage Assets"</f>
        <v>167 for Residential Mortgage Assets</v>
      </c>
      <c r="D286" s="62" t="str">
        <f>ROW('B1. HTT Mortgage Assets'!B254 )&amp; " for Commercial Mortgage Assets"</f>
        <v>254 for Commercial Mortgage Assets</v>
      </c>
      <c r="E286" s="39"/>
      <c r="F286" s="62"/>
      <c r="G286" s="39"/>
      <c r="H286" s="52"/>
      <c r="I286" s="49"/>
      <c r="J286" s="63"/>
      <c r="K286" s="62"/>
      <c r="L286" s="39"/>
      <c r="N286" s="39"/>
    </row>
    <row r="287" spans="1:14" x14ac:dyDescent="0.25">
      <c r="A287" s="90" t="s">
        <v>642</v>
      </c>
      <c r="B287" s="49" t="s">
        <v>264</v>
      </c>
      <c r="C287" s="62" t="str">
        <f>ROW('B1. HTT Mortgage Assets'!B130)&amp;" for Mortgage Assets"</f>
        <v>130 for Mortgage Assets</v>
      </c>
      <c r="D287" s="62"/>
      <c r="F287" s="62"/>
      <c r="H287" s="52"/>
      <c r="I287" s="49"/>
      <c r="M287" s="39"/>
    </row>
    <row r="288" spans="1:14" x14ac:dyDescent="0.25">
      <c r="A288" s="90" t="s">
        <v>643</v>
      </c>
      <c r="B288" s="49" t="s">
        <v>265</v>
      </c>
      <c r="C288" s="62">
        <f>ROW(B105)</f>
        <v>105</v>
      </c>
      <c r="F288" s="39"/>
      <c r="H288" s="52"/>
      <c r="I288" s="49"/>
      <c r="J288" s="62"/>
      <c r="M288" s="39"/>
    </row>
    <row r="289" spans="1:13" x14ac:dyDescent="0.25">
      <c r="A289" s="90" t="s">
        <v>644</v>
      </c>
      <c r="B289" s="49" t="s">
        <v>69</v>
      </c>
      <c r="C289" s="62">
        <f>ROW(B157)</f>
        <v>157</v>
      </c>
      <c r="E289" s="39"/>
      <c r="F289" s="39"/>
      <c r="H289" s="52"/>
      <c r="I289" s="49"/>
      <c r="J289" s="62"/>
      <c r="L289" s="39"/>
      <c r="M289" s="39"/>
    </row>
    <row r="290" spans="1:13" x14ac:dyDescent="0.25">
      <c r="A290" s="90" t="s">
        <v>645</v>
      </c>
      <c r="B290" s="49" t="s">
        <v>70</v>
      </c>
      <c r="C290" s="62">
        <f>ROW(B131)</f>
        <v>131</v>
      </c>
      <c r="E290" s="39"/>
      <c r="F290" s="39"/>
      <c r="H290" s="52"/>
      <c r="I290" s="49"/>
      <c r="J290" s="62"/>
      <c r="L290" s="39"/>
      <c r="M290" s="39"/>
    </row>
    <row r="291" spans="1:13" ht="30" x14ac:dyDescent="0.25">
      <c r="A291" s="90" t="s">
        <v>646</v>
      </c>
      <c r="B291" s="53" t="s">
        <v>228</v>
      </c>
      <c r="C291" s="62" t="str">
        <f>ROW('C. HTT Harmonised Glossary'!B17)&amp;" for Harmonised Glossary"</f>
        <v>17 for Harmonised Glossary</v>
      </c>
      <c r="E291" s="39"/>
      <c r="H291" s="52"/>
      <c r="J291" s="62"/>
      <c r="L291" s="39"/>
    </row>
    <row r="292" spans="1:13" x14ac:dyDescent="0.25">
      <c r="A292" s="90" t="s">
        <v>647</v>
      </c>
      <c r="B292" s="49" t="s">
        <v>71</v>
      </c>
      <c r="C292" s="62">
        <f>ROW(B65)</f>
        <v>65</v>
      </c>
      <c r="E292" s="39"/>
      <c r="H292" s="52"/>
      <c r="I292" s="49"/>
      <c r="J292" s="62"/>
      <c r="L292" s="39"/>
    </row>
    <row r="293" spans="1:13" x14ac:dyDescent="0.25">
      <c r="A293" s="90" t="s">
        <v>648</v>
      </c>
      <c r="B293" s="49" t="s">
        <v>72</v>
      </c>
      <c r="C293" s="62">
        <f>ROW(B85)</f>
        <v>85</v>
      </c>
      <c r="E293" s="39"/>
      <c r="H293" s="52"/>
      <c r="I293" s="49"/>
      <c r="J293" s="62"/>
      <c r="L293" s="39"/>
    </row>
    <row r="294" spans="1:13" x14ac:dyDescent="0.25">
      <c r="A294" s="90" t="s">
        <v>649</v>
      </c>
      <c r="B294" s="49" t="s">
        <v>46</v>
      </c>
      <c r="C294" s="62" t="str">
        <f>ROW('B1. HTT Mortgage Assets'!B160)&amp; " for Mortgage Assets"</f>
        <v>160 for Mortgage Assets</v>
      </c>
      <c r="D294" s="62"/>
      <c r="E294" s="39"/>
      <c r="H294" s="52"/>
      <c r="I294" s="49"/>
      <c r="J294" s="62"/>
      <c r="K294" s="62"/>
      <c r="L294" s="39"/>
    </row>
    <row r="295" spans="1:13" hidden="1" outlineLevel="1" x14ac:dyDescent="0.25">
      <c r="A295" s="90" t="s">
        <v>650</v>
      </c>
      <c r="B295" s="49"/>
      <c r="C295" s="62"/>
      <c r="D295" s="62"/>
      <c r="E295" s="39"/>
      <c r="H295" s="52"/>
      <c r="I295" s="49"/>
      <c r="J295" s="62"/>
      <c r="K295" s="62"/>
      <c r="L295" s="39"/>
    </row>
    <row r="296" spans="1:13" hidden="1" outlineLevel="1" x14ac:dyDescent="0.25">
      <c r="A296" s="90" t="s">
        <v>651</v>
      </c>
      <c r="B296" s="49"/>
      <c r="C296" s="62"/>
      <c r="D296" s="62"/>
      <c r="E296" s="39"/>
      <c r="H296" s="52"/>
      <c r="I296" s="49"/>
      <c r="J296" s="62"/>
      <c r="K296" s="62"/>
      <c r="L296" s="39"/>
    </row>
    <row r="297" spans="1:13" hidden="1" outlineLevel="1" x14ac:dyDescent="0.25">
      <c r="A297" s="90" t="s">
        <v>652</v>
      </c>
      <c r="B297" s="49"/>
      <c r="C297" s="62"/>
      <c r="D297" s="62"/>
      <c r="E297" s="39"/>
      <c r="H297" s="52"/>
      <c r="I297" s="49"/>
      <c r="J297" s="62"/>
      <c r="K297" s="62"/>
      <c r="L297" s="39"/>
    </row>
    <row r="298" spans="1:13" hidden="1" outlineLevel="1" x14ac:dyDescent="0.25">
      <c r="A298" s="90" t="s">
        <v>653</v>
      </c>
      <c r="B298" s="49"/>
      <c r="C298" s="62"/>
      <c r="D298" s="62"/>
      <c r="E298" s="39"/>
      <c r="H298" s="52"/>
      <c r="I298" s="49"/>
      <c r="J298" s="62"/>
      <c r="K298" s="62"/>
      <c r="L298" s="39"/>
    </row>
    <row r="299" spans="1:13" hidden="1" outlineLevel="1" x14ac:dyDescent="0.25">
      <c r="A299" s="90" t="s">
        <v>654</v>
      </c>
      <c r="B299" s="49"/>
      <c r="C299" s="62"/>
      <c r="D299" s="62"/>
      <c r="E299" s="39"/>
      <c r="H299" s="52"/>
      <c r="I299" s="49"/>
      <c r="J299" s="62"/>
      <c r="K299" s="62"/>
      <c r="L299" s="39"/>
    </row>
    <row r="300" spans="1:13" hidden="1" outlineLevel="1" x14ac:dyDescent="0.25">
      <c r="A300" s="90" t="s">
        <v>655</v>
      </c>
      <c r="B300" s="49"/>
      <c r="C300" s="62"/>
      <c r="D300" s="62"/>
      <c r="E300" s="39"/>
      <c r="H300" s="52"/>
      <c r="I300" s="49"/>
      <c r="J300" s="62"/>
      <c r="K300" s="62"/>
      <c r="L300" s="39"/>
    </row>
    <row r="301" spans="1:13" hidden="1" outlineLevel="1" x14ac:dyDescent="0.25">
      <c r="A301" s="90" t="s">
        <v>656</v>
      </c>
      <c r="B301" s="49"/>
      <c r="C301" s="62"/>
      <c r="D301" s="62"/>
      <c r="E301" s="39"/>
      <c r="H301" s="52"/>
      <c r="I301" s="49"/>
      <c r="J301" s="62"/>
      <c r="K301" s="62"/>
      <c r="L301" s="39"/>
    </row>
    <row r="302" spans="1:13" hidden="1" outlineLevel="1" x14ac:dyDescent="0.25">
      <c r="A302" s="90" t="s">
        <v>657</v>
      </c>
      <c r="B302" s="49"/>
      <c r="C302" s="62"/>
      <c r="D302" s="62"/>
      <c r="E302" s="39"/>
      <c r="H302" s="52"/>
      <c r="I302" s="49"/>
      <c r="J302" s="62"/>
      <c r="K302" s="62"/>
      <c r="L302" s="39"/>
    </row>
    <row r="303" spans="1:13" hidden="1" outlineLevel="1" x14ac:dyDescent="0.25">
      <c r="A303" s="90" t="s">
        <v>658</v>
      </c>
      <c r="B303" s="49"/>
      <c r="C303" s="62"/>
      <c r="D303" s="62"/>
      <c r="E303" s="39"/>
      <c r="H303" s="52"/>
      <c r="I303" s="49"/>
      <c r="J303" s="62"/>
      <c r="K303" s="62"/>
      <c r="L303" s="39"/>
    </row>
    <row r="304" spans="1:13" hidden="1" outlineLevel="1" x14ac:dyDescent="0.25">
      <c r="A304" s="90" t="s">
        <v>659</v>
      </c>
      <c r="H304" s="52"/>
    </row>
    <row r="305" spans="1:13" ht="37.5" collapsed="1" x14ac:dyDescent="0.25">
      <c r="A305" s="15"/>
      <c r="B305" s="18" t="s">
        <v>213</v>
      </c>
      <c r="C305" s="15"/>
      <c r="D305" s="15"/>
      <c r="E305" s="15"/>
      <c r="F305" s="15"/>
      <c r="G305" s="16"/>
      <c r="H305" s="52"/>
      <c r="I305" s="61"/>
      <c r="J305" s="3"/>
      <c r="K305" s="3"/>
      <c r="L305" s="3"/>
      <c r="M305" s="3"/>
    </row>
    <row r="306" spans="1:13" x14ac:dyDescent="0.25">
      <c r="A306" s="90" t="s">
        <v>660</v>
      </c>
      <c r="B306" s="71" t="s">
        <v>129</v>
      </c>
      <c r="C306" s="90" t="s">
        <v>53</v>
      </c>
      <c r="H306" s="52"/>
      <c r="I306" s="71"/>
      <c r="J306" s="62"/>
    </row>
    <row r="307" spans="1:13" hidden="1" outlineLevel="1" x14ac:dyDescent="0.25">
      <c r="A307" s="90" t="s">
        <v>661</v>
      </c>
      <c r="B307" s="71"/>
      <c r="C307" s="62"/>
      <c r="H307" s="52"/>
      <c r="I307" s="71"/>
      <c r="J307" s="62"/>
    </row>
    <row r="308" spans="1:13" hidden="1" outlineLevel="1" x14ac:dyDescent="0.25">
      <c r="A308" s="90" t="s">
        <v>662</v>
      </c>
      <c r="B308" s="71"/>
      <c r="C308" s="62"/>
      <c r="H308" s="52"/>
      <c r="I308" s="71"/>
      <c r="J308" s="62"/>
    </row>
    <row r="309" spans="1:13" hidden="1" outlineLevel="1" x14ac:dyDescent="0.25">
      <c r="A309" s="90" t="s">
        <v>663</v>
      </c>
      <c r="B309" s="71"/>
      <c r="C309" s="62"/>
      <c r="H309" s="52"/>
      <c r="I309" s="71"/>
      <c r="J309" s="62"/>
    </row>
    <row r="310" spans="1:13" hidden="1" outlineLevel="1" x14ac:dyDescent="0.25">
      <c r="A310" s="90" t="s">
        <v>664</v>
      </c>
      <c r="B310" s="71"/>
      <c r="C310" s="62"/>
      <c r="H310" s="52"/>
      <c r="I310" s="71"/>
      <c r="J310" s="62"/>
    </row>
    <row r="311" spans="1:13" hidden="1" outlineLevel="1" x14ac:dyDescent="0.25">
      <c r="A311" s="90" t="s">
        <v>665</v>
      </c>
      <c r="B311" s="71"/>
      <c r="C311" s="62"/>
      <c r="H311" s="52"/>
      <c r="I311" s="71"/>
      <c r="J311" s="62"/>
    </row>
    <row r="312" spans="1:13" hidden="1" outlineLevel="1" x14ac:dyDescent="0.25">
      <c r="A312" s="90" t="s">
        <v>666</v>
      </c>
      <c r="B312" s="71"/>
      <c r="C312" s="62"/>
      <c r="H312" s="52"/>
      <c r="I312" s="71"/>
      <c r="J312" s="62"/>
    </row>
    <row r="313" spans="1:13" ht="18.75" collapsed="1" x14ac:dyDescent="0.25">
      <c r="A313" s="15"/>
      <c r="B313" s="18" t="s">
        <v>214</v>
      </c>
      <c r="C313" s="15"/>
      <c r="D313" s="15"/>
      <c r="E313" s="15"/>
      <c r="F313" s="15"/>
      <c r="G313" s="16"/>
      <c r="H313" s="52"/>
      <c r="I313" s="61"/>
      <c r="J313" s="3"/>
      <c r="K313" s="3"/>
      <c r="L313" s="3"/>
      <c r="M313" s="3"/>
    </row>
    <row r="314" spans="1:13" ht="15" hidden="1" customHeight="1" outlineLevel="1" x14ac:dyDescent="0.25">
      <c r="A314" s="58"/>
      <c r="B314" s="60" t="s">
        <v>689</v>
      </c>
      <c r="C314" s="58"/>
      <c r="D314" s="58"/>
      <c r="E314" s="46"/>
      <c r="F314" s="59"/>
      <c r="G314" s="59"/>
      <c r="H314" s="52"/>
      <c r="L314" s="52"/>
      <c r="M314" s="52"/>
    </row>
    <row r="315" spans="1:13" hidden="1" outlineLevel="1" x14ac:dyDescent="0.25">
      <c r="A315" s="90" t="s">
        <v>667</v>
      </c>
      <c r="B315" s="91" t="s">
        <v>251</v>
      </c>
      <c r="C315" s="91"/>
      <c r="H315" s="52"/>
    </row>
    <row r="316" spans="1:13" hidden="1" outlineLevel="1" x14ac:dyDescent="0.25">
      <c r="A316" s="90" t="s">
        <v>668</v>
      </c>
      <c r="B316" s="91" t="s">
        <v>252</v>
      </c>
      <c r="C316" s="91"/>
      <c r="H316" s="52"/>
    </row>
    <row r="317" spans="1:13" hidden="1" outlineLevel="1" x14ac:dyDescent="0.25">
      <c r="A317" s="90" t="s">
        <v>669</v>
      </c>
      <c r="B317" s="49" t="s">
        <v>191</v>
      </c>
      <c r="C317" s="91"/>
      <c r="H317" s="52"/>
    </row>
    <row r="318" spans="1:13" hidden="1" outlineLevel="1" x14ac:dyDescent="0.25">
      <c r="A318" s="90" t="s">
        <v>670</v>
      </c>
      <c r="B318" s="49" t="s">
        <v>192</v>
      </c>
      <c r="H318" s="52"/>
    </row>
    <row r="319" spans="1:13" hidden="1" outlineLevel="1" x14ac:dyDescent="0.25">
      <c r="A319" s="90" t="s">
        <v>671</v>
      </c>
      <c r="B319" s="49" t="s">
        <v>197</v>
      </c>
      <c r="H319" s="52"/>
    </row>
    <row r="320" spans="1:13" hidden="1" outlineLevel="1" x14ac:dyDescent="0.25">
      <c r="A320" s="90" t="s">
        <v>672</v>
      </c>
      <c r="B320" s="49" t="s">
        <v>193</v>
      </c>
      <c r="H320" s="52"/>
    </row>
    <row r="321" spans="1:8" hidden="1" outlineLevel="1" x14ac:dyDescent="0.25">
      <c r="A321" s="90" t="s">
        <v>673</v>
      </c>
      <c r="B321" s="49" t="s">
        <v>194</v>
      </c>
      <c r="H321" s="52"/>
    </row>
    <row r="322" spans="1:8" hidden="1" outlineLevel="1" x14ac:dyDescent="0.25">
      <c r="A322" s="90" t="s">
        <v>674</v>
      </c>
      <c r="B322" s="49" t="s">
        <v>195</v>
      </c>
      <c r="H322" s="52"/>
    </row>
    <row r="323" spans="1:8" hidden="1" outlineLevel="1" x14ac:dyDescent="0.25">
      <c r="A323" s="90" t="s">
        <v>675</v>
      </c>
      <c r="B323" s="49" t="s">
        <v>196</v>
      </c>
      <c r="H323" s="52"/>
    </row>
    <row r="324" spans="1:8" collapsed="1" x14ac:dyDescent="0.25">
      <c r="H324" s="52"/>
    </row>
    <row r="325" spans="1:8" x14ac:dyDescent="0.25">
      <c r="H325" s="52"/>
    </row>
    <row r="326" spans="1:8" x14ac:dyDescent="0.25">
      <c r="H326" s="52"/>
    </row>
    <row r="327" spans="1:8" x14ac:dyDescent="0.25">
      <c r="H327" s="52"/>
    </row>
    <row r="328" spans="1:8" x14ac:dyDescent="0.25">
      <c r="H328" s="52"/>
    </row>
    <row r="329" spans="1:8" x14ac:dyDescent="0.25">
      <c r="H329" s="52"/>
    </row>
    <row r="330" spans="1:8" x14ac:dyDescent="0.25">
      <c r="H330" s="52"/>
    </row>
    <row r="331" spans="1:8" x14ac:dyDescent="0.25">
      <c r="H331" s="52"/>
    </row>
    <row r="332" spans="1:8" x14ac:dyDescent="0.25">
      <c r="H332" s="52"/>
    </row>
    <row r="333" spans="1:8" x14ac:dyDescent="0.25">
      <c r="H333" s="52"/>
    </row>
    <row r="334" spans="1:8" x14ac:dyDescent="0.25">
      <c r="H334" s="52"/>
    </row>
    <row r="335" spans="1:8" x14ac:dyDescent="0.25">
      <c r="H335" s="52"/>
    </row>
    <row r="336" spans="1:8" x14ac:dyDescent="0.25">
      <c r="H336" s="52"/>
    </row>
    <row r="337" spans="8:8" x14ac:dyDescent="0.25">
      <c r="H337" s="52"/>
    </row>
    <row r="338" spans="8:8" x14ac:dyDescent="0.25">
      <c r="H338" s="52"/>
    </row>
    <row r="339" spans="8:8" x14ac:dyDescent="0.25">
      <c r="H339" s="52"/>
    </row>
    <row r="340" spans="8:8" x14ac:dyDescent="0.25">
      <c r="H340" s="52"/>
    </row>
    <row r="341" spans="8:8" x14ac:dyDescent="0.25">
      <c r="H341" s="52"/>
    </row>
    <row r="342" spans="8:8" x14ac:dyDescent="0.25">
      <c r="H342" s="52"/>
    </row>
    <row r="343" spans="8:8" x14ac:dyDescent="0.25">
      <c r="H343" s="52"/>
    </row>
    <row r="344" spans="8:8" x14ac:dyDescent="0.25">
      <c r="H344" s="52"/>
    </row>
    <row r="345" spans="8:8" x14ac:dyDescent="0.25">
      <c r="H345" s="52"/>
    </row>
    <row r="346" spans="8:8" x14ac:dyDescent="0.25">
      <c r="H346" s="52"/>
    </row>
    <row r="347" spans="8:8" x14ac:dyDescent="0.25">
      <c r="H347" s="52"/>
    </row>
    <row r="348" spans="8:8" x14ac:dyDescent="0.25">
      <c r="H348" s="52"/>
    </row>
    <row r="349" spans="8:8" x14ac:dyDescent="0.25">
      <c r="H349" s="52"/>
    </row>
    <row r="350" spans="8:8" x14ac:dyDescent="0.25">
      <c r="H350" s="52"/>
    </row>
    <row r="351" spans="8:8" x14ac:dyDescent="0.25">
      <c r="H351" s="52"/>
    </row>
    <row r="352" spans="8:8" x14ac:dyDescent="0.25">
      <c r="H352" s="52"/>
    </row>
    <row r="353" spans="8:8" x14ac:dyDescent="0.25">
      <c r="H353" s="52"/>
    </row>
    <row r="354" spans="8:8" x14ac:dyDescent="0.25">
      <c r="H354" s="52"/>
    </row>
    <row r="355" spans="8:8" x14ac:dyDescent="0.25">
      <c r="H355" s="52"/>
    </row>
    <row r="356" spans="8:8" x14ac:dyDescent="0.25">
      <c r="H356" s="52"/>
    </row>
    <row r="357" spans="8:8" x14ac:dyDescent="0.25">
      <c r="H357" s="52"/>
    </row>
    <row r="358" spans="8:8" x14ac:dyDescent="0.25">
      <c r="H358" s="52"/>
    </row>
    <row r="359" spans="8:8" x14ac:dyDescent="0.25">
      <c r="H359" s="52"/>
    </row>
    <row r="360" spans="8:8" x14ac:dyDescent="0.25">
      <c r="H360" s="52"/>
    </row>
    <row r="361" spans="8:8" x14ac:dyDescent="0.25">
      <c r="H361" s="52"/>
    </row>
    <row r="362" spans="8:8" x14ac:dyDescent="0.25">
      <c r="H362" s="52"/>
    </row>
    <row r="363" spans="8:8" x14ac:dyDescent="0.25">
      <c r="H363" s="52"/>
    </row>
    <row r="364" spans="8:8" x14ac:dyDescent="0.25">
      <c r="H364" s="52"/>
    </row>
    <row r="365" spans="8:8" x14ac:dyDescent="0.25">
      <c r="H365" s="52"/>
    </row>
    <row r="366" spans="8:8" x14ac:dyDescent="0.25">
      <c r="H366" s="52"/>
    </row>
    <row r="367" spans="8:8" x14ac:dyDescent="0.25">
      <c r="H367" s="52"/>
    </row>
    <row r="368" spans="8:8" x14ac:dyDescent="0.25">
      <c r="H368" s="52"/>
    </row>
    <row r="369" spans="8:8" x14ac:dyDescent="0.25">
      <c r="H369" s="52"/>
    </row>
    <row r="370" spans="8:8" x14ac:dyDescent="0.25">
      <c r="H370" s="52"/>
    </row>
    <row r="371" spans="8:8" x14ac:dyDescent="0.25">
      <c r="H37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27" r:id="rId1" display="UCITS Compliance"/>
    <hyperlink ref="B28" r:id="rId2" display="CRR Compliance"/>
    <hyperlink ref="B29" r:id="rId3"/>
    <hyperlink ref="B10" location="'A. HTT General'!B309" display="5. References to Capital Requirements Regulation (CRR) 129(1)"/>
    <hyperlink ref="C223" r:id="rId4" location="tab-002"/>
    <hyperlink ref="C287" location="'B1. HTT Mortgage Assets'!B130" display="'B1. HTT Mortgage Assets'!B130"/>
    <hyperlink ref="C286" location="'B1. HTT Mortgage Assets'!B166" display="'B1. HTT Mortgage Assets'!B166"/>
    <hyperlink ref="D286" location="'B1. HTT Mortgage Assets'!B266" display="'B1. HTT Mortgage Assets'!B266"/>
    <hyperlink ref="C288" location="'A. HTT General'!B109" display="'A. HTT General'!B109"/>
    <hyperlink ref="C294" location="'B1. HTT Mortgage Assets'!B160" display="'B1. HTT Mortgage Assets'!B160"/>
    <hyperlink ref="C293" location="'A. HTT General'!B87" display="'A. HTT General'!B87"/>
    <hyperlink ref="C292" location="'A. HTT General'!B65" display="'A. HTT General'!B65"/>
    <hyperlink ref="C291" location="'C. HTT Harmonised Glossary'!B17" display="'C. HTT Harmonised Glossary'!B17"/>
    <hyperlink ref="C290" location="'A. HTT General'!B135" display="'A. HTT General'!B135"/>
    <hyperlink ref="C289" location="'A. HTT General'!B161" display="'A. HTT General'!B161"/>
    <hyperlink ref="C285" location="'A. HTT General'!A52" display="'A. HTT General'!A52"/>
    <hyperlink ref="C284" location="'B1. HTT Mortgage Assets'!B43" display="'B1. HTT Mortgage Assets'!B43"/>
    <hyperlink ref="C283" location="'A. HTT General'!A39" display="'A. HTT General'!A39"/>
    <hyperlink ref="C282" location="'A. HTT General'!A38" display="'A. HTT General'!A38"/>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O342"/>
  <sheetViews>
    <sheetView zoomScaleNormal="100" zoomScaleSheetLayoutView="80" zoomScalePageLayoutView="80" workbookViewId="0">
      <selection activeCell="I256" sqref="I256"/>
    </sheetView>
  </sheetViews>
  <sheetFormatPr defaultColWidth="8.85546875" defaultRowHeight="15" outlineLevelRow="1" x14ac:dyDescent="0.25"/>
  <cols>
    <col min="1" max="1" width="13.85546875" style="90" customWidth="1" collapsed="1"/>
    <col min="2" max="2" width="60.85546875" style="90" customWidth="1" collapsed="1"/>
    <col min="3" max="4" width="19.28515625" style="90" customWidth="1" collapsed="1"/>
    <col min="5" max="5" width="12.28515625" style="90" customWidth="1" collapsed="1"/>
    <col min="6" max="6" width="19.5703125" style="90" customWidth="1" collapsed="1"/>
    <col min="7" max="7" width="19.5703125" style="52" customWidth="1" collapsed="1"/>
    <col min="8" max="8" width="8.85546875" style="51" collapsed="1"/>
    <col min="9" max="9" width="19.7109375" style="51" customWidth="1" collapsed="1"/>
    <col min="10" max="10" width="19.5703125" style="51" customWidth="1" collapsed="1"/>
    <col min="11" max="12" width="8.85546875" style="51" collapsed="1"/>
    <col min="13" max="13" width="25" style="51" customWidth="1" collapsed="1"/>
    <col min="14" max="14" width="19.85546875" style="51" customWidth="1" collapsed="1"/>
    <col min="15" max="15" width="16.85546875" style="51" customWidth="1" collapsed="1"/>
    <col min="16" max="16384" width="8.85546875" style="51" collapsed="1"/>
  </cols>
  <sheetData>
    <row r="1" spans="1:10" ht="31.5" customHeight="1" x14ac:dyDescent="0.25">
      <c r="A1" s="19" t="s">
        <v>256</v>
      </c>
      <c r="B1" s="19"/>
      <c r="C1" s="52"/>
      <c r="D1" s="52"/>
      <c r="E1" s="52"/>
      <c r="F1" s="52"/>
    </row>
    <row r="2" spans="1:10" ht="15.75" customHeight="1" thickBot="1" x14ac:dyDescent="0.3">
      <c r="A2" s="52"/>
      <c r="B2" s="52"/>
      <c r="C2" s="52"/>
      <c r="D2" s="52"/>
      <c r="E2" s="52"/>
      <c r="F2" s="52"/>
    </row>
    <row r="3" spans="1:10" ht="19.5" customHeight="1" thickBot="1" x14ac:dyDescent="0.3">
      <c r="A3" s="44"/>
      <c r="B3" s="43" t="s">
        <v>127</v>
      </c>
      <c r="C3" s="93" t="s">
        <v>1052</v>
      </c>
      <c r="D3" s="44"/>
      <c r="E3" s="44"/>
      <c r="F3" s="44"/>
      <c r="G3" s="44"/>
    </row>
    <row r="4" spans="1:10" ht="15.75" thickBot="1" x14ac:dyDescent="0.3"/>
    <row r="5" spans="1:10" ht="18.75" customHeight="1" x14ac:dyDescent="0.25">
      <c r="A5" s="61"/>
      <c r="B5" s="79" t="s">
        <v>257</v>
      </c>
      <c r="C5" s="61"/>
      <c r="E5" s="3"/>
      <c r="F5" s="3"/>
    </row>
    <row r="6" spans="1:10" ht="15" customHeight="1" x14ac:dyDescent="0.25">
      <c r="B6" s="74" t="s">
        <v>222</v>
      </c>
    </row>
    <row r="7" spans="1:10" ht="15" customHeight="1" x14ac:dyDescent="0.25">
      <c r="B7" s="75" t="s">
        <v>223</v>
      </c>
    </row>
    <row r="8" spans="1:10" ht="15.75" customHeight="1" thickBot="1" x14ac:dyDescent="0.3">
      <c r="B8" s="80" t="s">
        <v>224</v>
      </c>
    </row>
    <row r="9" spans="1:10" ht="15" customHeight="1" x14ac:dyDescent="0.25">
      <c r="B9" s="66"/>
    </row>
    <row r="10" spans="1:10" ht="37.5" customHeight="1" x14ac:dyDescent="0.25">
      <c r="A10" s="18" t="s">
        <v>221</v>
      </c>
      <c r="B10" s="18" t="s">
        <v>222</v>
      </c>
      <c r="C10" s="15"/>
      <c r="D10" s="15"/>
      <c r="E10" s="15"/>
      <c r="F10" s="15"/>
      <c r="G10" s="16"/>
    </row>
    <row r="11" spans="1:10" ht="15" customHeight="1" x14ac:dyDescent="0.25">
      <c r="A11" s="58"/>
      <c r="B11" s="60" t="s">
        <v>964</v>
      </c>
      <c r="C11" s="58" t="s">
        <v>81</v>
      </c>
      <c r="D11" s="58"/>
      <c r="E11" s="58"/>
      <c r="F11" s="59" t="s">
        <v>146</v>
      </c>
      <c r="G11" s="59"/>
    </row>
    <row r="12" spans="1:10" x14ac:dyDescent="0.25">
      <c r="A12" s="90" t="s">
        <v>690</v>
      </c>
      <c r="B12" s="90" t="s">
        <v>3</v>
      </c>
      <c r="C12" s="113">
        <v>3739709528.98</v>
      </c>
      <c r="D12" s="113"/>
      <c r="F12" s="47">
        <f>IF($C$15=0,"",IF(C12="[for completion]","",C12/$C$15))</f>
        <v>0.49273750538834138</v>
      </c>
      <c r="G12" s="47"/>
      <c r="J12" s="128"/>
    </row>
    <row r="13" spans="1:10" x14ac:dyDescent="0.25">
      <c r="A13" s="90" t="s">
        <v>691</v>
      </c>
      <c r="B13" s="90" t="s">
        <v>4</v>
      </c>
      <c r="C13" s="113">
        <v>3849949240.8200002</v>
      </c>
      <c r="D13" s="113"/>
      <c r="F13" s="47">
        <f>IF($C$15=0,"",IF(C13="[for completion]","",C13/$C$15))</f>
        <v>0.50726249461165862</v>
      </c>
      <c r="G13" s="47"/>
      <c r="J13" s="128"/>
    </row>
    <row r="14" spans="1:10" x14ac:dyDescent="0.25">
      <c r="A14" s="90" t="s">
        <v>692</v>
      </c>
      <c r="B14" s="90" t="s">
        <v>2</v>
      </c>
      <c r="C14" s="113">
        <v>0</v>
      </c>
      <c r="D14" s="113"/>
      <c r="F14" s="47">
        <f>IF($C$15=0,"",IF(C14="[for completion]","",C14/$C$15))</f>
        <v>0</v>
      </c>
      <c r="G14" s="47"/>
    </row>
    <row r="15" spans="1:10" ht="15" customHeight="1" x14ac:dyDescent="0.25">
      <c r="A15" s="90" t="s">
        <v>693</v>
      </c>
      <c r="B15" s="36" t="s">
        <v>1</v>
      </c>
      <c r="C15" s="113">
        <f>SUM(C12:C14)</f>
        <v>7589658769.8000002</v>
      </c>
      <c r="D15" s="113"/>
      <c r="F15" s="47">
        <f>SUM(F12:F14)</f>
        <v>1</v>
      </c>
      <c r="G15" s="47"/>
      <c r="I15" s="127"/>
    </row>
    <row r="16" spans="1:10" ht="15" hidden="1" customHeight="1" outlineLevel="1" x14ac:dyDescent="0.25">
      <c r="A16" s="90" t="s">
        <v>694</v>
      </c>
      <c r="B16" s="67" t="s">
        <v>159</v>
      </c>
      <c r="C16" s="113"/>
      <c r="D16" s="113"/>
      <c r="F16" s="47" t="str">
        <f t="shared" ref="F16:F26" si="0">IF($C$15=0,"",IF(C16="","",C16/$C$15))</f>
        <v/>
      </c>
      <c r="G16" s="47"/>
      <c r="I16" s="129"/>
    </row>
    <row r="17" spans="1:7" ht="15" hidden="1" customHeight="1" outlineLevel="1" x14ac:dyDescent="0.25">
      <c r="A17" s="90" t="s">
        <v>695</v>
      </c>
      <c r="B17" s="67" t="s">
        <v>157</v>
      </c>
      <c r="C17" s="113"/>
      <c r="D17" s="113"/>
      <c r="F17" s="47" t="str">
        <f t="shared" si="0"/>
        <v/>
      </c>
      <c r="G17" s="47"/>
    </row>
    <row r="18" spans="1:7" ht="15" hidden="1" customHeight="1" outlineLevel="1" x14ac:dyDescent="0.25">
      <c r="A18" s="90" t="s">
        <v>696</v>
      </c>
      <c r="B18" s="67" t="s">
        <v>153</v>
      </c>
      <c r="C18" s="113"/>
      <c r="D18" s="113"/>
      <c r="F18" s="47" t="str">
        <f t="shared" si="0"/>
        <v/>
      </c>
      <c r="G18" s="47"/>
    </row>
    <row r="19" spans="1:7" ht="15" hidden="1" customHeight="1" outlineLevel="1" x14ac:dyDescent="0.25">
      <c r="A19" s="90" t="s">
        <v>697</v>
      </c>
      <c r="B19" s="67" t="s">
        <v>153</v>
      </c>
      <c r="C19" s="113"/>
      <c r="D19" s="113"/>
      <c r="F19" s="47" t="str">
        <f t="shared" si="0"/>
        <v/>
      </c>
      <c r="G19" s="47"/>
    </row>
    <row r="20" spans="1:7" ht="15" hidden="1" customHeight="1" outlineLevel="1" x14ac:dyDescent="0.25">
      <c r="A20" s="90" t="s">
        <v>698</v>
      </c>
      <c r="B20" s="67" t="s">
        <v>153</v>
      </c>
      <c r="C20" s="113"/>
      <c r="D20" s="113"/>
      <c r="F20" s="47" t="str">
        <f t="shared" si="0"/>
        <v/>
      </c>
      <c r="G20" s="47"/>
    </row>
    <row r="21" spans="1:7" ht="15" hidden="1" customHeight="1" outlineLevel="1" x14ac:dyDescent="0.25">
      <c r="A21" s="90" t="s">
        <v>699</v>
      </c>
      <c r="B21" s="67" t="s">
        <v>153</v>
      </c>
      <c r="C21" s="113"/>
      <c r="D21" s="113"/>
      <c r="F21" s="47" t="str">
        <f t="shared" si="0"/>
        <v/>
      </c>
      <c r="G21" s="47"/>
    </row>
    <row r="22" spans="1:7" ht="15" hidden="1" customHeight="1" outlineLevel="1" x14ac:dyDescent="0.25">
      <c r="A22" s="90" t="s">
        <v>700</v>
      </c>
      <c r="B22" s="67" t="s">
        <v>153</v>
      </c>
      <c r="C22" s="113"/>
      <c r="D22" s="113"/>
      <c r="F22" s="47" t="str">
        <f t="shared" si="0"/>
        <v/>
      </c>
      <c r="G22" s="47"/>
    </row>
    <row r="23" spans="1:7" ht="15" hidden="1" customHeight="1" outlineLevel="1" x14ac:dyDescent="0.25">
      <c r="A23" s="90" t="s">
        <v>701</v>
      </c>
      <c r="B23" s="67" t="s">
        <v>153</v>
      </c>
      <c r="C23" s="113"/>
      <c r="D23" s="113"/>
      <c r="F23" s="47" t="str">
        <f t="shared" si="0"/>
        <v/>
      </c>
      <c r="G23" s="47"/>
    </row>
    <row r="24" spans="1:7" ht="15" hidden="1" customHeight="1" outlineLevel="1" x14ac:dyDescent="0.25">
      <c r="A24" s="90" t="s">
        <v>702</v>
      </c>
      <c r="B24" s="67" t="s">
        <v>153</v>
      </c>
      <c r="C24" s="113"/>
      <c r="D24" s="113"/>
      <c r="F24" s="47" t="str">
        <f t="shared" si="0"/>
        <v/>
      </c>
      <c r="G24" s="47"/>
    </row>
    <row r="25" spans="1:7" ht="15" hidden="1" customHeight="1" outlineLevel="1" x14ac:dyDescent="0.25">
      <c r="A25" s="90" t="s">
        <v>703</v>
      </c>
      <c r="B25" s="67" t="s">
        <v>153</v>
      </c>
      <c r="C25" s="113"/>
      <c r="D25" s="113"/>
      <c r="F25" s="47" t="str">
        <f t="shared" si="0"/>
        <v/>
      </c>
      <c r="G25" s="47"/>
    </row>
    <row r="26" spans="1:7" ht="15" hidden="1" customHeight="1" outlineLevel="1" x14ac:dyDescent="0.25">
      <c r="A26" s="90" t="s">
        <v>704</v>
      </c>
      <c r="B26" s="67" t="s">
        <v>153</v>
      </c>
      <c r="C26" s="113"/>
      <c r="D26" s="113"/>
      <c r="E26" s="51"/>
      <c r="F26" s="47" t="str">
        <f t="shared" si="0"/>
        <v/>
      </c>
      <c r="G26" s="47"/>
    </row>
    <row r="27" spans="1:7" ht="15" customHeight="1" collapsed="1" x14ac:dyDescent="0.25">
      <c r="A27" s="58"/>
      <c r="B27" s="60" t="s">
        <v>965</v>
      </c>
      <c r="C27" s="58" t="s">
        <v>140</v>
      </c>
      <c r="D27" s="58" t="s">
        <v>141</v>
      </c>
      <c r="E27" s="46"/>
      <c r="F27" s="58" t="s">
        <v>147</v>
      </c>
      <c r="G27" s="59"/>
    </row>
    <row r="28" spans="1:7" ht="15" customHeight="1" x14ac:dyDescent="0.25">
      <c r="A28" s="90" t="s">
        <v>705</v>
      </c>
      <c r="B28" s="90" t="s">
        <v>209</v>
      </c>
      <c r="C28" s="90">
        <v>14996</v>
      </c>
      <c r="D28" s="90">
        <v>312</v>
      </c>
      <c r="F28" s="90">
        <v>15308</v>
      </c>
    </row>
    <row r="29" spans="1:7" hidden="1" outlineLevel="1" x14ac:dyDescent="0.25">
      <c r="A29" s="90" t="s">
        <v>706</v>
      </c>
      <c r="B29" s="91" t="s">
        <v>189</v>
      </c>
    </row>
    <row r="30" spans="1:7" ht="15" hidden="1" customHeight="1" outlineLevel="1" x14ac:dyDescent="0.25">
      <c r="A30" s="90" t="s">
        <v>707</v>
      </c>
      <c r="B30" s="91" t="s">
        <v>190</v>
      </c>
    </row>
    <row r="31" spans="1:7" ht="15" hidden="1" customHeight="1" outlineLevel="1" x14ac:dyDescent="0.25">
      <c r="A31" s="90" t="s">
        <v>708</v>
      </c>
      <c r="B31" s="91"/>
    </row>
    <row r="32" spans="1:7" ht="15" hidden="1" customHeight="1" outlineLevel="1" x14ac:dyDescent="0.25">
      <c r="A32" s="90" t="s">
        <v>709</v>
      </c>
      <c r="B32" s="91"/>
    </row>
    <row r="33" spans="1:7" ht="15" hidden="1" customHeight="1" outlineLevel="1" x14ac:dyDescent="0.25">
      <c r="A33" s="90" t="s">
        <v>710</v>
      </c>
      <c r="B33" s="91"/>
    </row>
    <row r="34" spans="1:7" ht="15" hidden="1" customHeight="1" outlineLevel="1" x14ac:dyDescent="0.25">
      <c r="A34" s="90" t="s">
        <v>711</v>
      </c>
      <c r="B34" s="91"/>
    </row>
    <row r="35" spans="1:7" ht="15" customHeight="1" collapsed="1" x14ac:dyDescent="0.25">
      <c r="A35" s="58"/>
      <c r="B35" s="60" t="s">
        <v>966</v>
      </c>
      <c r="C35" s="58" t="s">
        <v>142</v>
      </c>
      <c r="D35" s="58" t="s">
        <v>143</v>
      </c>
      <c r="E35" s="46"/>
      <c r="F35" s="59" t="s">
        <v>146</v>
      </c>
      <c r="G35" s="59"/>
    </row>
    <row r="36" spans="1:7" x14ac:dyDescent="0.25">
      <c r="A36" s="90" t="s">
        <v>712</v>
      </c>
      <c r="B36" s="90" t="s">
        <v>203</v>
      </c>
      <c r="C36" s="47">
        <f>23960226.13/C12</f>
        <v>6.4069751793089432E-3</v>
      </c>
      <c r="D36" s="47">
        <f>883950562.71/C13</f>
        <v>0.22960057585635271</v>
      </c>
      <c r="F36" s="47">
        <f>883950562.71/C15</f>
        <v>0.11646776087316683</v>
      </c>
      <c r="G36" s="47"/>
    </row>
    <row r="37" spans="1:7" ht="15" hidden="1" customHeight="1" outlineLevel="1" x14ac:dyDescent="0.25">
      <c r="A37" s="90" t="s">
        <v>713</v>
      </c>
      <c r="C37" s="47"/>
      <c r="D37" s="47"/>
    </row>
    <row r="38" spans="1:7" ht="15" hidden="1" customHeight="1" outlineLevel="1" x14ac:dyDescent="0.25">
      <c r="A38" s="90" t="s">
        <v>714</v>
      </c>
      <c r="C38" s="47"/>
      <c r="D38" s="47"/>
    </row>
    <row r="39" spans="1:7" ht="15" hidden="1" customHeight="1" outlineLevel="1" x14ac:dyDescent="0.25">
      <c r="A39" s="90" t="s">
        <v>715</v>
      </c>
      <c r="C39" s="47"/>
      <c r="D39" s="47"/>
    </row>
    <row r="40" spans="1:7" ht="15" hidden="1" customHeight="1" outlineLevel="1" x14ac:dyDescent="0.25">
      <c r="A40" s="90" t="s">
        <v>716</v>
      </c>
      <c r="C40" s="47"/>
      <c r="D40" s="47"/>
    </row>
    <row r="41" spans="1:7" ht="15" hidden="1" customHeight="1" outlineLevel="1" x14ac:dyDescent="0.25">
      <c r="A41" s="90" t="s">
        <v>717</v>
      </c>
      <c r="C41" s="47"/>
      <c r="D41" s="47"/>
    </row>
    <row r="42" spans="1:7" ht="15" hidden="1" customHeight="1" outlineLevel="1" x14ac:dyDescent="0.25">
      <c r="A42" s="90" t="s">
        <v>718</v>
      </c>
      <c r="C42" s="47"/>
      <c r="D42" s="47"/>
    </row>
    <row r="43" spans="1:7" ht="15" customHeight="1" collapsed="1" x14ac:dyDescent="0.25">
      <c r="A43" s="58"/>
      <c r="B43" s="60" t="s">
        <v>967</v>
      </c>
      <c r="C43" s="58" t="s">
        <v>142</v>
      </c>
      <c r="D43" s="58" t="s">
        <v>143</v>
      </c>
      <c r="E43" s="46"/>
      <c r="F43" s="59" t="s">
        <v>146</v>
      </c>
      <c r="G43" s="59"/>
    </row>
    <row r="44" spans="1:7" ht="15" customHeight="1" x14ac:dyDescent="0.25">
      <c r="A44" s="90" t="s">
        <v>719</v>
      </c>
      <c r="B44" s="70" t="s">
        <v>89</v>
      </c>
      <c r="C44" s="118">
        <f>SUM(C45:C72)</f>
        <v>1</v>
      </c>
      <c r="D44" s="118">
        <f>SUM(D45:D72)</f>
        <v>1</v>
      </c>
      <c r="E44" s="70"/>
      <c r="F44" s="118">
        <f>SUM(F45:F72)</f>
        <v>1</v>
      </c>
      <c r="G44" s="90"/>
    </row>
    <row r="45" spans="1:7" ht="15" customHeight="1" x14ac:dyDescent="0.25">
      <c r="A45" s="90" t="s">
        <v>720</v>
      </c>
      <c r="B45" s="90" t="s">
        <v>102</v>
      </c>
      <c r="C45" s="47">
        <v>0</v>
      </c>
      <c r="D45" s="47">
        <v>0</v>
      </c>
      <c r="F45" s="47">
        <v>0</v>
      </c>
      <c r="G45" s="90"/>
    </row>
    <row r="46" spans="1:7" ht="15" customHeight="1" x14ac:dyDescent="0.25">
      <c r="A46" s="90" t="s">
        <v>721</v>
      </c>
      <c r="B46" s="90" t="s">
        <v>90</v>
      </c>
      <c r="C46" s="47">
        <v>0</v>
      </c>
      <c r="D46" s="47">
        <v>0</v>
      </c>
      <c r="F46" s="47">
        <v>0</v>
      </c>
      <c r="G46" s="90"/>
    </row>
    <row r="47" spans="1:7" ht="15" customHeight="1" x14ac:dyDescent="0.25">
      <c r="A47" s="90" t="s">
        <v>722</v>
      </c>
      <c r="B47" s="90" t="s">
        <v>91</v>
      </c>
      <c r="C47" s="47">
        <v>0</v>
      </c>
      <c r="D47" s="47">
        <v>0</v>
      </c>
      <c r="F47" s="47">
        <v>0</v>
      </c>
      <c r="G47" s="90"/>
    </row>
    <row r="48" spans="1:7" ht="15" customHeight="1" x14ac:dyDescent="0.25">
      <c r="A48" s="90" t="s">
        <v>723</v>
      </c>
      <c r="B48" s="90" t="s">
        <v>263</v>
      </c>
      <c r="C48" s="47">
        <v>0</v>
      </c>
      <c r="D48" s="47">
        <v>0</v>
      </c>
      <c r="F48" s="47">
        <v>0</v>
      </c>
      <c r="G48" s="90"/>
    </row>
    <row r="49" spans="1:7" ht="15" customHeight="1" x14ac:dyDescent="0.25">
      <c r="A49" s="90" t="s">
        <v>724</v>
      </c>
      <c r="B49" s="90" t="s">
        <v>112</v>
      </c>
      <c r="C49" s="47">
        <v>0</v>
      </c>
      <c r="D49" s="47">
        <v>0</v>
      </c>
      <c r="F49" s="47">
        <v>0</v>
      </c>
      <c r="G49" s="90"/>
    </row>
    <row r="50" spans="1:7" ht="15" customHeight="1" x14ac:dyDescent="0.25">
      <c r="A50" s="90" t="s">
        <v>725</v>
      </c>
      <c r="B50" s="90" t="s">
        <v>109</v>
      </c>
      <c r="C50" s="47">
        <v>0</v>
      </c>
      <c r="D50" s="47">
        <v>0</v>
      </c>
      <c r="F50" s="47">
        <v>0</v>
      </c>
      <c r="G50" s="90"/>
    </row>
    <row r="51" spans="1:7" ht="15" customHeight="1" x14ac:dyDescent="0.25">
      <c r="A51" s="90" t="s">
        <v>726</v>
      </c>
      <c r="B51" s="90" t="s">
        <v>92</v>
      </c>
      <c r="C51" s="47">
        <v>0</v>
      </c>
      <c r="D51" s="47">
        <v>0</v>
      </c>
      <c r="F51" s="47">
        <v>0</v>
      </c>
      <c r="G51" s="90"/>
    </row>
    <row r="52" spans="1:7" ht="15" customHeight="1" x14ac:dyDescent="0.25">
      <c r="A52" s="90" t="s">
        <v>727</v>
      </c>
      <c r="B52" s="90" t="s">
        <v>93</v>
      </c>
      <c r="C52" s="47">
        <v>0</v>
      </c>
      <c r="D52" s="47">
        <v>0</v>
      </c>
      <c r="F52" s="47">
        <v>0</v>
      </c>
      <c r="G52" s="90"/>
    </row>
    <row r="53" spans="1:7" ht="15" customHeight="1" x14ac:dyDescent="0.25">
      <c r="A53" s="90" t="s">
        <v>728</v>
      </c>
      <c r="B53" s="90" t="s">
        <v>94</v>
      </c>
      <c r="C53" s="47">
        <v>0</v>
      </c>
      <c r="D53" s="47">
        <v>0</v>
      </c>
      <c r="F53" s="47">
        <v>0</v>
      </c>
      <c r="G53" s="90"/>
    </row>
    <row r="54" spans="1:7" ht="15" customHeight="1" x14ac:dyDescent="0.25">
      <c r="A54" s="90" t="s">
        <v>729</v>
      </c>
      <c r="B54" s="90" t="s">
        <v>0</v>
      </c>
      <c r="C54" s="47">
        <v>0</v>
      </c>
      <c r="D54" s="47">
        <v>0</v>
      </c>
      <c r="F54" s="47">
        <v>0</v>
      </c>
      <c r="G54" s="90"/>
    </row>
    <row r="55" spans="1:7" ht="15" customHeight="1" x14ac:dyDescent="0.25">
      <c r="A55" s="90" t="s">
        <v>730</v>
      </c>
      <c r="B55" s="90" t="s">
        <v>14</v>
      </c>
      <c r="C55" s="47">
        <v>0</v>
      </c>
      <c r="D55" s="47">
        <v>0</v>
      </c>
      <c r="F55" s="47">
        <v>0</v>
      </c>
      <c r="G55" s="90"/>
    </row>
    <row r="56" spans="1:7" ht="15" customHeight="1" x14ac:dyDescent="0.25">
      <c r="A56" s="90" t="s">
        <v>731</v>
      </c>
      <c r="B56" s="90" t="s">
        <v>95</v>
      </c>
      <c r="C56" s="47">
        <v>0</v>
      </c>
      <c r="D56" s="47">
        <v>0</v>
      </c>
      <c r="F56" s="47">
        <v>0</v>
      </c>
      <c r="G56" s="90"/>
    </row>
    <row r="57" spans="1:7" ht="15" customHeight="1" x14ac:dyDescent="0.25">
      <c r="A57" s="90" t="s">
        <v>732</v>
      </c>
      <c r="B57" s="90" t="s">
        <v>266</v>
      </c>
      <c r="C57" s="47">
        <v>0</v>
      </c>
      <c r="D57" s="47">
        <v>0</v>
      </c>
      <c r="F57" s="47">
        <v>0</v>
      </c>
      <c r="G57" s="90"/>
    </row>
    <row r="58" spans="1:7" ht="15" customHeight="1" x14ac:dyDescent="0.25">
      <c r="A58" s="90" t="s">
        <v>733</v>
      </c>
      <c r="B58" s="90" t="s">
        <v>110</v>
      </c>
      <c r="C58" s="47">
        <v>0</v>
      </c>
      <c r="D58" s="47">
        <v>0</v>
      </c>
      <c r="F58" s="47">
        <v>0</v>
      </c>
      <c r="G58" s="90"/>
    </row>
    <row r="59" spans="1:7" ht="15" customHeight="1" x14ac:dyDescent="0.25">
      <c r="A59" s="90" t="s">
        <v>734</v>
      </c>
      <c r="B59" s="90" t="s">
        <v>96</v>
      </c>
      <c r="C59" s="47">
        <v>0</v>
      </c>
      <c r="D59" s="47">
        <v>0</v>
      </c>
      <c r="F59" s="47">
        <v>0</v>
      </c>
      <c r="G59" s="90"/>
    </row>
    <row r="60" spans="1:7" ht="15" customHeight="1" x14ac:dyDescent="0.25">
      <c r="A60" s="90" t="s">
        <v>735</v>
      </c>
      <c r="B60" s="90" t="s">
        <v>97</v>
      </c>
      <c r="C60" s="47">
        <v>0</v>
      </c>
      <c r="D60" s="47">
        <v>0</v>
      </c>
      <c r="F60" s="47">
        <v>0</v>
      </c>
      <c r="G60" s="90"/>
    </row>
    <row r="61" spans="1:7" ht="15" customHeight="1" x14ac:dyDescent="0.25">
      <c r="A61" s="90" t="s">
        <v>736</v>
      </c>
      <c r="B61" s="90" t="s">
        <v>98</v>
      </c>
      <c r="C61" s="47">
        <v>0</v>
      </c>
      <c r="D61" s="47">
        <v>0</v>
      </c>
      <c r="F61" s="47">
        <v>0</v>
      </c>
      <c r="G61" s="90"/>
    </row>
    <row r="62" spans="1:7" ht="15" customHeight="1" x14ac:dyDescent="0.25">
      <c r="A62" s="90" t="s">
        <v>737</v>
      </c>
      <c r="B62" s="90" t="s">
        <v>99</v>
      </c>
      <c r="C62" s="47">
        <v>0</v>
      </c>
      <c r="D62" s="47">
        <v>0</v>
      </c>
      <c r="F62" s="47">
        <v>0</v>
      </c>
      <c r="G62" s="90"/>
    </row>
    <row r="63" spans="1:7" ht="15" customHeight="1" x14ac:dyDescent="0.25">
      <c r="A63" s="90" t="s">
        <v>738</v>
      </c>
      <c r="B63" s="90" t="s">
        <v>100</v>
      </c>
      <c r="C63" s="47">
        <v>0</v>
      </c>
      <c r="D63" s="47">
        <v>0</v>
      </c>
      <c r="F63" s="47">
        <v>0</v>
      </c>
      <c r="G63" s="90"/>
    </row>
    <row r="64" spans="1:7" ht="15" customHeight="1" x14ac:dyDescent="0.25">
      <c r="A64" s="90" t="s">
        <v>739</v>
      </c>
      <c r="B64" s="90" t="s">
        <v>101</v>
      </c>
      <c r="C64" s="47">
        <v>0</v>
      </c>
      <c r="D64" s="47">
        <v>0</v>
      </c>
      <c r="F64" s="47">
        <v>0</v>
      </c>
      <c r="G64" s="90"/>
    </row>
    <row r="65" spans="1:7" ht="15" customHeight="1" x14ac:dyDescent="0.25">
      <c r="A65" s="90" t="s">
        <v>740</v>
      </c>
      <c r="B65" s="90" t="s">
        <v>103</v>
      </c>
      <c r="C65" s="47">
        <v>1</v>
      </c>
      <c r="D65" s="47">
        <v>1</v>
      </c>
      <c r="F65" s="47">
        <v>1</v>
      </c>
      <c r="G65" s="90"/>
    </row>
    <row r="66" spans="1:7" ht="15" customHeight="1" x14ac:dyDescent="0.25">
      <c r="A66" s="90" t="s">
        <v>741</v>
      </c>
      <c r="B66" s="90" t="s">
        <v>104</v>
      </c>
      <c r="C66" s="47">
        <v>0</v>
      </c>
      <c r="D66" s="47">
        <v>0</v>
      </c>
      <c r="F66" s="47">
        <v>0</v>
      </c>
      <c r="G66" s="90"/>
    </row>
    <row r="67" spans="1:7" ht="15" customHeight="1" x14ac:dyDescent="0.25">
      <c r="A67" s="90" t="s">
        <v>742</v>
      </c>
      <c r="B67" s="90" t="s">
        <v>105</v>
      </c>
      <c r="C67" s="47">
        <v>0</v>
      </c>
      <c r="D67" s="47">
        <v>0</v>
      </c>
      <c r="F67" s="47">
        <v>0</v>
      </c>
      <c r="G67" s="90"/>
    </row>
    <row r="68" spans="1:7" ht="15" customHeight="1" x14ac:dyDescent="0.25">
      <c r="A68" s="90" t="s">
        <v>743</v>
      </c>
      <c r="B68" s="90" t="s">
        <v>107</v>
      </c>
      <c r="C68" s="47">
        <v>0</v>
      </c>
      <c r="D68" s="47">
        <v>0</v>
      </c>
      <c r="F68" s="47">
        <v>0</v>
      </c>
      <c r="G68" s="90"/>
    </row>
    <row r="69" spans="1:7" ht="15" customHeight="1" x14ac:dyDescent="0.25">
      <c r="A69" s="90" t="s">
        <v>744</v>
      </c>
      <c r="B69" s="90" t="s">
        <v>108</v>
      </c>
      <c r="C69" s="47">
        <v>0</v>
      </c>
      <c r="D69" s="47">
        <v>0</v>
      </c>
      <c r="F69" s="47">
        <v>0</v>
      </c>
      <c r="G69" s="90"/>
    </row>
    <row r="70" spans="1:7" ht="15" customHeight="1" x14ac:dyDescent="0.25">
      <c r="A70" s="90" t="s">
        <v>745</v>
      </c>
      <c r="B70" s="90" t="s">
        <v>15</v>
      </c>
      <c r="C70" s="47">
        <v>0</v>
      </c>
      <c r="D70" s="47">
        <v>0</v>
      </c>
      <c r="F70" s="47">
        <v>0</v>
      </c>
      <c r="G70" s="90"/>
    </row>
    <row r="71" spans="1:7" ht="15" customHeight="1" x14ac:dyDescent="0.25">
      <c r="A71" s="90" t="s">
        <v>746</v>
      </c>
      <c r="B71" s="90" t="s">
        <v>106</v>
      </c>
      <c r="C71" s="47">
        <v>0</v>
      </c>
      <c r="D71" s="47">
        <v>0</v>
      </c>
      <c r="F71" s="47">
        <v>0</v>
      </c>
      <c r="G71" s="90"/>
    </row>
    <row r="72" spans="1:7" ht="15" customHeight="1" x14ac:dyDescent="0.25">
      <c r="A72" s="90" t="s">
        <v>747</v>
      </c>
      <c r="B72" s="90" t="s">
        <v>111</v>
      </c>
      <c r="C72" s="47">
        <v>0</v>
      </c>
      <c r="D72" s="47">
        <v>0</v>
      </c>
      <c r="F72" s="47">
        <v>0</v>
      </c>
      <c r="G72" s="90"/>
    </row>
    <row r="73" spans="1:7" ht="15" customHeight="1" x14ac:dyDescent="0.25">
      <c r="A73" s="90" t="s">
        <v>748</v>
      </c>
      <c r="B73" s="70" t="s">
        <v>113</v>
      </c>
      <c r="C73" s="118">
        <f>SUM(C74:C76)</f>
        <v>0</v>
      </c>
      <c r="D73" s="118">
        <f>SUM(D74:D76)</f>
        <v>0</v>
      </c>
      <c r="E73" s="70"/>
      <c r="F73" s="118">
        <f>SUM(F74:F76)</f>
        <v>0</v>
      </c>
      <c r="G73" s="90"/>
    </row>
    <row r="74" spans="1:7" ht="15" customHeight="1" x14ac:dyDescent="0.25">
      <c r="A74" s="90" t="s">
        <v>749</v>
      </c>
      <c r="B74" s="90" t="s">
        <v>114</v>
      </c>
      <c r="C74" s="47">
        <v>0</v>
      </c>
      <c r="D74" s="47">
        <v>0</v>
      </c>
      <c r="F74" s="47">
        <v>0</v>
      </c>
      <c r="G74" s="90"/>
    </row>
    <row r="75" spans="1:7" ht="15" customHeight="1" x14ac:dyDescent="0.25">
      <c r="A75" s="90" t="s">
        <v>750</v>
      </c>
      <c r="B75" s="90" t="s">
        <v>115</v>
      </c>
      <c r="C75" s="47">
        <v>0</v>
      </c>
      <c r="D75" s="47">
        <v>0</v>
      </c>
      <c r="F75" s="47">
        <v>0</v>
      </c>
      <c r="G75" s="90"/>
    </row>
    <row r="76" spans="1:7" ht="15" customHeight="1" x14ac:dyDescent="0.25">
      <c r="A76" s="90" t="s">
        <v>751</v>
      </c>
      <c r="B76" s="90" t="s">
        <v>116</v>
      </c>
      <c r="C76" s="47">
        <v>0</v>
      </c>
      <c r="D76" s="47">
        <v>0</v>
      </c>
      <c r="F76" s="47">
        <v>0</v>
      </c>
      <c r="G76" s="90"/>
    </row>
    <row r="77" spans="1:7" ht="15" customHeight="1" x14ac:dyDescent="0.25">
      <c r="A77" s="90" t="s">
        <v>752</v>
      </c>
      <c r="B77" s="70" t="s">
        <v>2</v>
      </c>
      <c r="C77" s="47">
        <f>SUM(C78:C87)</f>
        <v>0</v>
      </c>
      <c r="D77" s="47">
        <f>SUM(D78:D87)</f>
        <v>0</v>
      </c>
      <c r="F77" s="47">
        <f>SUM(F78:F87)</f>
        <v>0</v>
      </c>
      <c r="G77" s="90"/>
    </row>
    <row r="78" spans="1:7" ht="15" customHeight="1" x14ac:dyDescent="0.25">
      <c r="A78" s="90" t="s">
        <v>753</v>
      </c>
      <c r="B78" s="86" t="s">
        <v>117</v>
      </c>
      <c r="C78" s="47">
        <v>0</v>
      </c>
      <c r="D78" s="47">
        <v>0</v>
      </c>
      <c r="F78" s="47">
        <v>0</v>
      </c>
      <c r="G78" s="90"/>
    </row>
    <row r="79" spans="1:7" ht="15" customHeight="1" x14ac:dyDescent="0.25">
      <c r="A79" s="90" t="s">
        <v>754</v>
      </c>
      <c r="B79" s="86" t="s">
        <v>118</v>
      </c>
      <c r="C79" s="47">
        <v>0</v>
      </c>
      <c r="D79" s="47">
        <v>0</v>
      </c>
      <c r="F79" s="47">
        <v>0</v>
      </c>
      <c r="G79" s="90"/>
    </row>
    <row r="80" spans="1:7" ht="15" customHeight="1" x14ac:dyDescent="0.25">
      <c r="A80" s="90" t="s">
        <v>755</v>
      </c>
      <c r="B80" s="86" t="s">
        <v>139</v>
      </c>
      <c r="C80" s="47">
        <v>0</v>
      </c>
      <c r="D80" s="47">
        <v>0</v>
      </c>
      <c r="F80" s="47">
        <v>0</v>
      </c>
      <c r="G80" s="90"/>
    </row>
    <row r="81" spans="1:7" ht="15" customHeight="1" x14ac:dyDescent="0.25">
      <c r="A81" s="90" t="s">
        <v>756</v>
      </c>
      <c r="B81" s="86" t="s">
        <v>119</v>
      </c>
      <c r="C81" s="47">
        <v>0</v>
      </c>
      <c r="D81" s="47">
        <v>0</v>
      </c>
      <c r="F81" s="47">
        <v>0</v>
      </c>
      <c r="G81" s="90"/>
    </row>
    <row r="82" spans="1:7" ht="15" customHeight="1" x14ac:dyDescent="0.25">
      <c r="A82" s="90" t="s">
        <v>757</v>
      </c>
      <c r="B82" s="86" t="s">
        <v>120</v>
      </c>
      <c r="C82" s="47">
        <v>0</v>
      </c>
      <c r="D82" s="47">
        <v>0</v>
      </c>
      <c r="F82" s="47">
        <v>0</v>
      </c>
      <c r="G82" s="90"/>
    </row>
    <row r="83" spans="1:7" ht="15" customHeight="1" x14ac:dyDescent="0.25">
      <c r="A83" s="90" t="s">
        <v>758</v>
      </c>
      <c r="B83" s="86" t="s">
        <v>121</v>
      </c>
      <c r="C83" s="47">
        <v>0</v>
      </c>
      <c r="D83" s="47">
        <v>0</v>
      </c>
      <c r="F83" s="47">
        <v>0</v>
      </c>
      <c r="G83" s="90"/>
    </row>
    <row r="84" spans="1:7" ht="15" customHeight="1" x14ac:dyDescent="0.25">
      <c r="A84" s="90" t="s">
        <v>759</v>
      </c>
      <c r="B84" s="86" t="s">
        <v>122</v>
      </c>
      <c r="C84" s="47">
        <v>0</v>
      </c>
      <c r="D84" s="47">
        <v>0</v>
      </c>
      <c r="F84" s="47">
        <v>0</v>
      </c>
      <c r="G84" s="90"/>
    </row>
    <row r="85" spans="1:7" ht="15" customHeight="1" x14ac:dyDescent="0.25">
      <c r="A85" s="90" t="s">
        <v>760</v>
      </c>
      <c r="B85" s="86" t="s">
        <v>125</v>
      </c>
      <c r="C85" s="47">
        <v>0</v>
      </c>
      <c r="D85" s="47">
        <v>0</v>
      </c>
      <c r="F85" s="47">
        <v>0</v>
      </c>
      <c r="G85" s="90"/>
    </row>
    <row r="86" spans="1:7" ht="15" customHeight="1" x14ac:dyDescent="0.25">
      <c r="A86" s="90" t="s">
        <v>761</v>
      </c>
      <c r="B86" s="86" t="s">
        <v>123</v>
      </c>
      <c r="C86" s="47">
        <v>0</v>
      </c>
      <c r="D86" s="47">
        <v>0</v>
      </c>
      <c r="F86" s="47">
        <v>0</v>
      </c>
      <c r="G86" s="90"/>
    </row>
    <row r="87" spans="1:7" ht="15" customHeight="1" x14ac:dyDescent="0.25">
      <c r="A87" s="90" t="s">
        <v>762</v>
      </c>
      <c r="B87" s="86" t="s">
        <v>2</v>
      </c>
      <c r="C87" s="47">
        <v>0</v>
      </c>
      <c r="D87" s="47">
        <v>0</v>
      </c>
      <c r="F87" s="47">
        <v>0</v>
      </c>
      <c r="G87" s="90"/>
    </row>
    <row r="88" spans="1:7" ht="15" hidden="1" customHeight="1" outlineLevel="1" x14ac:dyDescent="0.25">
      <c r="A88" s="90" t="s">
        <v>1096</v>
      </c>
      <c r="B88" s="67" t="s">
        <v>153</v>
      </c>
      <c r="C88" s="47"/>
      <c r="D88" s="47"/>
      <c r="F88" s="47"/>
      <c r="G88" s="90"/>
    </row>
    <row r="89" spans="1:7" ht="15" hidden="1" customHeight="1" outlineLevel="1" x14ac:dyDescent="0.25">
      <c r="A89" s="90" t="s">
        <v>1097</v>
      </c>
      <c r="B89" s="67" t="s">
        <v>153</v>
      </c>
      <c r="C89" s="47"/>
      <c r="D89" s="47"/>
      <c r="F89" s="47"/>
      <c r="G89" s="90"/>
    </row>
    <row r="90" spans="1:7" ht="15" hidden="1" customHeight="1" outlineLevel="1" x14ac:dyDescent="0.25">
      <c r="A90" s="90" t="s">
        <v>1098</v>
      </c>
      <c r="B90" s="67" t="s">
        <v>153</v>
      </c>
      <c r="C90" s="47"/>
      <c r="D90" s="47"/>
      <c r="F90" s="47"/>
      <c r="G90" s="90"/>
    </row>
    <row r="91" spans="1:7" ht="15" hidden="1" customHeight="1" outlineLevel="1" x14ac:dyDescent="0.25">
      <c r="A91" s="90" t="s">
        <v>1099</v>
      </c>
      <c r="B91" s="67" t="s">
        <v>153</v>
      </c>
      <c r="C91" s="47"/>
      <c r="D91" s="47"/>
      <c r="F91" s="47"/>
      <c r="G91" s="90"/>
    </row>
    <row r="92" spans="1:7" ht="15" hidden="1" customHeight="1" outlineLevel="1" x14ac:dyDescent="0.25">
      <c r="A92" s="90" t="s">
        <v>1100</v>
      </c>
      <c r="B92" s="67" t="s">
        <v>153</v>
      </c>
      <c r="C92" s="47"/>
      <c r="D92" s="47"/>
      <c r="F92" s="47"/>
      <c r="G92" s="90"/>
    </row>
    <row r="93" spans="1:7" ht="15" hidden="1" customHeight="1" outlineLevel="1" x14ac:dyDescent="0.25">
      <c r="A93" s="90" t="s">
        <v>1101</v>
      </c>
      <c r="B93" s="67" t="s">
        <v>153</v>
      </c>
      <c r="C93" s="47"/>
      <c r="D93" s="47"/>
      <c r="F93" s="47"/>
      <c r="G93" s="90"/>
    </row>
    <row r="94" spans="1:7" ht="15" hidden="1" customHeight="1" outlineLevel="1" x14ac:dyDescent="0.25">
      <c r="A94" s="90" t="s">
        <v>1102</v>
      </c>
      <c r="B94" s="67" t="s">
        <v>153</v>
      </c>
      <c r="C94" s="47"/>
      <c r="D94" s="47"/>
      <c r="F94" s="47"/>
      <c r="G94" s="90"/>
    </row>
    <row r="95" spans="1:7" ht="15" hidden="1" customHeight="1" outlineLevel="1" x14ac:dyDescent="0.25">
      <c r="A95" s="90" t="s">
        <v>1103</v>
      </c>
      <c r="B95" s="67" t="s">
        <v>153</v>
      </c>
      <c r="C95" s="47"/>
      <c r="D95" s="47"/>
      <c r="F95" s="47"/>
      <c r="G95" s="90"/>
    </row>
    <row r="96" spans="1:7" ht="15" hidden="1" customHeight="1" outlineLevel="1" x14ac:dyDescent="0.25">
      <c r="A96" s="90" t="s">
        <v>1104</v>
      </c>
      <c r="B96" s="67" t="s">
        <v>153</v>
      </c>
      <c r="C96" s="47"/>
      <c r="D96" s="47"/>
      <c r="F96" s="47"/>
      <c r="G96" s="90"/>
    </row>
    <row r="97" spans="1:7" ht="15" hidden="1" customHeight="1" outlineLevel="1" x14ac:dyDescent="0.25">
      <c r="A97" s="90" t="s">
        <v>1105</v>
      </c>
      <c r="B97" s="67" t="s">
        <v>153</v>
      </c>
      <c r="C97" s="47"/>
      <c r="D97" s="47"/>
      <c r="F97" s="47"/>
      <c r="G97" s="90"/>
    </row>
    <row r="98" spans="1:7" ht="15" customHeight="1" collapsed="1" x14ac:dyDescent="0.25">
      <c r="A98" s="58"/>
      <c r="B98" s="60" t="s">
        <v>968</v>
      </c>
      <c r="C98" s="58" t="s">
        <v>142</v>
      </c>
      <c r="D98" s="58" t="s">
        <v>143</v>
      </c>
      <c r="E98" s="46"/>
      <c r="F98" s="59" t="s">
        <v>146</v>
      </c>
      <c r="G98" s="59"/>
    </row>
    <row r="99" spans="1:7" ht="15" customHeight="1" x14ac:dyDescent="0.25">
      <c r="A99" s="90" t="s">
        <v>763</v>
      </c>
      <c r="B99" s="120" t="s">
        <v>1025</v>
      </c>
      <c r="C99" s="47">
        <f>348666295.56/C12</f>
        <v>9.3233523314603051E-2</v>
      </c>
      <c r="D99" s="47">
        <f>599549486.8/C13</f>
        <v>0.15572919259379689</v>
      </c>
      <c r="F99" s="47">
        <f t="shared" ref="F99:F114" si="1">(C99*$C$12+D99*$C$13)/$C$15</f>
        <v>0.12493523241559211</v>
      </c>
      <c r="G99" s="90"/>
    </row>
    <row r="100" spans="1:7" ht="15" customHeight="1" x14ac:dyDescent="0.25">
      <c r="A100" s="90" t="s">
        <v>764</v>
      </c>
      <c r="B100" s="120" t="s">
        <v>1026</v>
      </c>
      <c r="C100" s="47">
        <f>95110775.22/C12</f>
        <v>2.5432663815989291E-2</v>
      </c>
      <c r="D100" s="47">
        <f>26951915.03/C13</f>
        <v>7.0005897075826164E-3</v>
      </c>
      <c r="F100" s="47">
        <f t="shared" si="1"/>
        <v>1.6082763922891957E-2</v>
      </c>
      <c r="G100" s="90"/>
    </row>
    <row r="101" spans="1:7" ht="15" customHeight="1" x14ac:dyDescent="0.25">
      <c r="A101" s="90" t="s">
        <v>765</v>
      </c>
      <c r="B101" s="120" t="s">
        <v>1027</v>
      </c>
      <c r="C101" s="47">
        <f>85172938.36/C12</f>
        <v>2.2775281796613436E-2</v>
      </c>
      <c r="D101" s="47">
        <f>84645360.58/C13</f>
        <v>2.198609781202502E-2</v>
      </c>
      <c r="F101" s="47">
        <f t="shared" si="1"/>
        <v>2.2374958359883547E-2</v>
      </c>
      <c r="G101" s="90"/>
    </row>
    <row r="102" spans="1:7" ht="15" customHeight="1" x14ac:dyDescent="0.25">
      <c r="A102" s="90" t="s">
        <v>766</v>
      </c>
      <c r="B102" s="120" t="s">
        <v>1028</v>
      </c>
      <c r="C102" s="47">
        <f>30425997.84/C12</f>
        <v>8.1359254252826013E-3</v>
      </c>
      <c r="D102" s="47">
        <f>16102074.1/C13</f>
        <v>4.182412050858733E-3</v>
      </c>
      <c r="F102" s="47">
        <f t="shared" si="1"/>
        <v>6.1304563684917938E-3</v>
      </c>
      <c r="G102" s="90"/>
    </row>
    <row r="103" spans="1:7" ht="15" customHeight="1" x14ac:dyDescent="0.25">
      <c r="A103" s="90" t="s">
        <v>767</v>
      </c>
      <c r="B103" s="120" t="s">
        <v>1029</v>
      </c>
      <c r="C103" s="47">
        <f>166385341.6/C12</f>
        <v>4.4491514731461332E-2</v>
      </c>
      <c r="D103" s="47">
        <f>162308199.82/C13</f>
        <v>4.2158529805818946E-2</v>
      </c>
      <c r="F103" s="47">
        <f t="shared" si="1"/>
        <v>4.3308078978188579E-2</v>
      </c>
      <c r="G103" s="90"/>
    </row>
    <row r="104" spans="1:7" ht="15" customHeight="1" x14ac:dyDescent="0.25">
      <c r="A104" s="90" t="s">
        <v>768</v>
      </c>
      <c r="B104" s="120" t="s">
        <v>1030</v>
      </c>
      <c r="C104" s="47">
        <f>374156866.62/C12</f>
        <v>0.10004971341238118</v>
      </c>
      <c r="D104" s="47">
        <f>451047395.86/C13</f>
        <v>0.11715671237367574</v>
      </c>
      <c r="F104" s="47">
        <f t="shared" si="1"/>
        <v>0.10872745238080651</v>
      </c>
      <c r="G104" s="90"/>
    </row>
    <row r="105" spans="1:7" ht="15" customHeight="1" x14ac:dyDescent="0.25">
      <c r="A105" s="90" t="s">
        <v>769</v>
      </c>
      <c r="B105" s="120" t="s">
        <v>1031</v>
      </c>
      <c r="C105" s="47">
        <f>1564121332.49/C12</f>
        <v>0.41824674359578179</v>
      </c>
      <c r="D105" s="47">
        <f>1191592783.74/C13</f>
        <v>0.30950869977865031</v>
      </c>
      <c r="F105" s="47">
        <f t="shared" si="1"/>
        <v>0.36308801222991183</v>
      </c>
      <c r="G105" s="90"/>
    </row>
    <row r="106" spans="1:7" ht="15" customHeight="1" x14ac:dyDescent="0.25">
      <c r="A106" s="90" t="s">
        <v>770</v>
      </c>
      <c r="B106" s="120" t="s">
        <v>1032</v>
      </c>
      <c r="C106" s="47">
        <f>28272339.05/C12</f>
        <v>7.5600361019780155E-3</v>
      </c>
      <c r="D106" s="47">
        <f>74965982.94/C13</f>
        <v>1.9471940602529346E-2</v>
      </c>
      <c r="F106" s="47">
        <f t="shared" si="1"/>
        <v>1.3602498494503528E-2</v>
      </c>
      <c r="G106" s="90"/>
    </row>
    <row r="107" spans="1:7" ht="15" customHeight="1" x14ac:dyDescent="0.25">
      <c r="A107" s="90" t="s">
        <v>771</v>
      </c>
      <c r="B107" s="120" t="s">
        <v>1033</v>
      </c>
      <c r="C107" s="47">
        <f>31134962.46/C12</f>
        <v>8.3255028816347706E-3</v>
      </c>
      <c r="D107" s="47">
        <f>183978215.47/C13</f>
        <v>4.7787179508583473E-2</v>
      </c>
      <c r="F107" s="47">
        <f t="shared" si="1"/>
        <v>2.8342931408979352E-2</v>
      </c>
      <c r="G107" s="90"/>
    </row>
    <row r="108" spans="1:7" ht="15" customHeight="1" x14ac:dyDescent="0.25">
      <c r="A108" s="90" t="s">
        <v>772</v>
      </c>
      <c r="B108" s="120" t="s">
        <v>1034</v>
      </c>
      <c r="C108" s="47">
        <f>36224342.51/C12</f>
        <v>9.6864053823667237E-3</v>
      </c>
      <c r="D108" s="47">
        <f>2809246.46/C13</f>
        <v>7.2968402549682934E-4</v>
      </c>
      <c r="F108" s="47">
        <f t="shared" si="1"/>
        <v>5.1429965633393816E-3</v>
      </c>
      <c r="G108" s="90"/>
    </row>
    <row r="109" spans="1:7" ht="15" customHeight="1" x14ac:dyDescent="0.25">
      <c r="A109" s="90" t="s">
        <v>773</v>
      </c>
      <c r="B109" s="120" t="s">
        <v>1035</v>
      </c>
      <c r="C109" s="47">
        <f>307661533.82/C12</f>
        <v>8.226883169290268E-2</v>
      </c>
      <c r="D109" s="47">
        <f>169401688.65/C13</f>
        <v>4.400101872873502E-2</v>
      </c>
      <c r="F109" s="47">
        <f t="shared" si="1"/>
        <v>6.2857005425366624E-2</v>
      </c>
      <c r="G109" s="90"/>
    </row>
    <row r="110" spans="1:7" ht="15" customHeight="1" x14ac:dyDescent="0.25">
      <c r="A110" s="90" t="s">
        <v>774</v>
      </c>
      <c r="B110" s="120" t="s">
        <v>1036</v>
      </c>
      <c r="C110" s="47">
        <f>172934326.11/C12</f>
        <v>4.6242716117357807E-2</v>
      </c>
      <c r="D110" s="47">
        <f>326531779.1/C13</f>
        <v>8.4814567329321994E-2</v>
      </c>
      <c r="F110" s="47">
        <f t="shared" si="1"/>
        <v>6.5808769584928498E-2</v>
      </c>
      <c r="G110" s="90"/>
    </row>
    <row r="111" spans="1:7" ht="15" customHeight="1" x14ac:dyDescent="0.25">
      <c r="A111" s="90" t="s">
        <v>775</v>
      </c>
      <c r="B111" s="120" t="s">
        <v>1037</v>
      </c>
      <c r="C111" s="47">
        <f>21224851.51/C12</f>
        <v>5.6755347829886265E-3</v>
      </c>
      <c r="D111" s="47">
        <f>61525103.06/C13</f>
        <v>1.5980756942887843E-2</v>
      </c>
      <c r="F111" s="47">
        <f t="shared" si="1"/>
        <v>1.0902987483346447E-2</v>
      </c>
      <c r="G111" s="90"/>
    </row>
    <row r="112" spans="1:7" ht="15" customHeight="1" x14ac:dyDescent="0.25">
      <c r="A112" s="90" t="s">
        <v>776</v>
      </c>
      <c r="B112" s="120" t="s">
        <v>1038</v>
      </c>
      <c r="C112" s="47">
        <f>44465763.34/C12</f>
        <v>1.1890164996886261E-2</v>
      </c>
      <c r="D112" s="47">
        <f>27463047.12/C13</f>
        <v>7.1333530397794673E-3</v>
      </c>
      <c r="F112" s="47">
        <f t="shared" si="1"/>
        <v>9.4772126971257031E-3</v>
      </c>
      <c r="G112" s="90"/>
    </row>
    <row r="113" spans="1:7" ht="15" customHeight="1" x14ac:dyDescent="0.25">
      <c r="A113" s="90" t="s">
        <v>777</v>
      </c>
      <c r="B113" s="120" t="s">
        <v>1039</v>
      </c>
      <c r="C113" s="47">
        <f>271102294.54/C12</f>
        <v>7.2492874764512188E-2</v>
      </c>
      <c r="D113" s="47">
        <f>377122972.9/C13</f>
        <v>9.7955310397722706E-2</v>
      </c>
      <c r="F113" s="47">
        <f t="shared" si="1"/>
        <v>8.5409013382703347E-2</v>
      </c>
      <c r="G113" s="90"/>
    </row>
    <row r="114" spans="1:7" ht="15" customHeight="1" x14ac:dyDescent="0.25">
      <c r="A114" s="90" t="s">
        <v>778</v>
      </c>
      <c r="B114" s="120" t="s">
        <v>1040</v>
      </c>
      <c r="C114" s="47">
        <f>162294777.03/C12</f>
        <v>4.3397695936632182E-2</v>
      </c>
      <c r="D114" s="47">
        <f>93953989.19/C13</f>
        <v>2.440395530253504E-2</v>
      </c>
      <c r="F114" s="47">
        <f t="shared" si="1"/>
        <v>3.3762883680573237E-2</v>
      </c>
      <c r="G114" s="90"/>
    </row>
    <row r="115" spans="1:7" ht="15" hidden="1" customHeight="1" x14ac:dyDescent="0.25">
      <c r="A115" s="90" t="s">
        <v>1106</v>
      </c>
      <c r="B115" s="86"/>
      <c r="C115" s="47"/>
      <c r="D115" s="47"/>
      <c r="F115" s="47"/>
      <c r="G115" s="90"/>
    </row>
    <row r="116" spans="1:7" ht="15" hidden="1" customHeight="1" x14ac:dyDescent="0.25">
      <c r="A116" s="90" t="s">
        <v>1107</v>
      </c>
      <c r="B116" s="86"/>
      <c r="C116" s="47"/>
      <c r="D116" s="47"/>
      <c r="F116" s="47"/>
      <c r="G116" s="90"/>
    </row>
    <row r="117" spans="1:7" ht="15" hidden="1" customHeight="1" x14ac:dyDescent="0.25">
      <c r="A117" s="90" t="s">
        <v>1108</v>
      </c>
      <c r="B117" s="86"/>
      <c r="C117" s="47"/>
      <c r="D117" s="47"/>
      <c r="F117" s="47"/>
      <c r="G117" s="90"/>
    </row>
    <row r="118" spans="1:7" ht="15" hidden="1" customHeight="1" x14ac:dyDescent="0.25">
      <c r="A118" s="90" t="s">
        <v>1109</v>
      </c>
      <c r="B118" s="86"/>
      <c r="C118" s="47"/>
      <c r="D118" s="47"/>
      <c r="F118" s="47"/>
      <c r="G118" s="90"/>
    </row>
    <row r="119" spans="1:7" ht="15" hidden="1" customHeight="1" x14ac:dyDescent="0.25">
      <c r="A119" s="90" t="s">
        <v>1110</v>
      </c>
      <c r="B119" s="86"/>
      <c r="C119" s="47"/>
      <c r="D119" s="47"/>
      <c r="F119" s="47"/>
      <c r="G119" s="90"/>
    </row>
    <row r="120" spans="1:7" ht="15" hidden="1" customHeight="1" x14ac:dyDescent="0.25">
      <c r="A120" s="90" t="s">
        <v>1111</v>
      </c>
      <c r="B120" s="86"/>
      <c r="C120" s="47"/>
      <c r="D120" s="47"/>
      <c r="F120" s="47"/>
      <c r="G120" s="90"/>
    </row>
    <row r="121" spans="1:7" ht="15" hidden="1" customHeight="1" x14ac:dyDescent="0.25">
      <c r="A121" s="90" t="s">
        <v>1112</v>
      </c>
      <c r="B121" s="86"/>
      <c r="C121" s="47"/>
      <c r="D121" s="47"/>
      <c r="F121" s="47"/>
      <c r="G121" s="90"/>
    </row>
    <row r="122" spans="1:7" ht="15" hidden="1" customHeight="1" x14ac:dyDescent="0.25">
      <c r="A122" s="90" t="s">
        <v>1113</v>
      </c>
      <c r="B122" s="86"/>
      <c r="C122" s="47"/>
      <c r="D122" s="47"/>
      <c r="F122" s="47"/>
      <c r="G122" s="90"/>
    </row>
    <row r="123" spans="1:7" ht="15" hidden="1" customHeight="1" x14ac:dyDescent="0.25">
      <c r="A123" s="90" t="s">
        <v>1114</v>
      </c>
      <c r="B123" s="86"/>
      <c r="C123" s="47"/>
      <c r="D123" s="47"/>
      <c r="F123" s="47"/>
      <c r="G123" s="90"/>
    </row>
    <row r="124" spans="1:7" ht="15" hidden="1" customHeight="1" x14ac:dyDescent="0.25">
      <c r="A124" s="90" t="s">
        <v>1115</v>
      </c>
      <c r="B124" s="86"/>
      <c r="C124" s="47"/>
      <c r="D124" s="47"/>
      <c r="F124" s="47"/>
      <c r="G124" s="90"/>
    </row>
    <row r="125" spans="1:7" ht="15" hidden="1" customHeight="1" x14ac:dyDescent="0.25">
      <c r="A125" s="90" t="s">
        <v>1116</v>
      </c>
      <c r="B125" s="86"/>
      <c r="C125" s="47"/>
      <c r="D125" s="47"/>
      <c r="F125" s="47"/>
      <c r="G125" s="90"/>
    </row>
    <row r="126" spans="1:7" ht="15" hidden="1" customHeight="1" x14ac:dyDescent="0.25">
      <c r="A126" s="90" t="s">
        <v>1117</v>
      </c>
      <c r="B126" s="86"/>
      <c r="C126" s="47"/>
      <c r="D126" s="47"/>
      <c r="F126" s="47"/>
      <c r="G126" s="90"/>
    </row>
    <row r="127" spans="1:7" ht="15" hidden="1" customHeight="1" x14ac:dyDescent="0.25">
      <c r="A127" s="90" t="s">
        <v>1118</v>
      </c>
      <c r="B127" s="86"/>
      <c r="C127" s="47"/>
      <c r="D127" s="47"/>
      <c r="F127" s="47"/>
      <c r="G127" s="90"/>
    </row>
    <row r="128" spans="1:7" ht="15" hidden="1" customHeight="1" x14ac:dyDescent="0.25">
      <c r="A128" s="90" t="s">
        <v>1119</v>
      </c>
      <c r="B128" s="86"/>
      <c r="C128" s="47"/>
      <c r="D128" s="47"/>
      <c r="F128" s="47"/>
      <c r="G128" s="90"/>
    </row>
    <row r="129" spans="1:7" ht="15" hidden="1" customHeight="1" x14ac:dyDescent="0.25">
      <c r="A129" s="90" t="s">
        <v>1120</v>
      </c>
      <c r="B129" s="86"/>
      <c r="C129" s="47"/>
      <c r="D129" s="47"/>
      <c r="F129" s="47"/>
      <c r="G129" s="90"/>
    </row>
    <row r="130" spans="1:7" ht="15" customHeight="1" x14ac:dyDescent="0.25">
      <c r="A130" s="58"/>
      <c r="B130" s="60" t="s">
        <v>969</v>
      </c>
      <c r="C130" s="58" t="s">
        <v>142</v>
      </c>
      <c r="D130" s="58" t="s">
        <v>143</v>
      </c>
      <c r="E130" s="46"/>
      <c r="F130" s="59" t="s">
        <v>146</v>
      </c>
      <c r="G130" s="59"/>
    </row>
    <row r="131" spans="1:7" ht="15" customHeight="1" x14ac:dyDescent="0.25">
      <c r="A131" s="90" t="s">
        <v>779</v>
      </c>
      <c r="B131" s="90" t="s">
        <v>32</v>
      </c>
      <c r="C131" s="47">
        <f>0/C12</f>
        <v>0</v>
      </c>
      <c r="D131" s="47">
        <f>0/C13</f>
        <v>0</v>
      </c>
      <c r="E131" s="52"/>
      <c r="F131" s="47">
        <f>(C131*C12+D131*C13)/$C$15</f>
        <v>0</v>
      </c>
      <c r="G131" s="112"/>
    </row>
    <row r="132" spans="1:7" ht="15" customHeight="1" x14ac:dyDescent="0.25">
      <c r="A132" s="90" t="s">
        <v>780</v>
      </c>
      <c r="B132" s="90" t="s">
        <v>33</v>
      </c>
      <c r="C132" s="47">
        <f>3739709528.98/C12</f>
        <v>1</v>
      </c>
      <c r="D132" s="47">
        <f>3849949240.82/C13</f>
        <v>1</v>
      </c>
      <c r="E132" s="52"/>
      <c r="F132" s="47">
        <f>(C132*C12+D132*C13)/C15</f>
        <v>1</v>
      </c>
    </row>
    <row r="133" spans="1:7" ht="15" customHeight="1" x14ac:dyDescent="0.25">
      <c r="A133" s="90" t="s">
        <v>781</v>
      </c>
      <c r="B133" s="90" t="s">
        <v>2</v>
      </c>
      <c r="C133" s="47">
        <v>0</v>
      </c>
      <c r="D133" s="47">
        <v>0</v>
      </c>
      <c r="E133" s="52"/>
      <c r="F133" s="47">
        <v>0</v>
      </c>
    </row>
    <row r="134" spans="1:7" ht="15" hidden="1" customHeight="1" outlineLevel="1" x14ac:dyDescent="0.25">
      <c r="A134" s="90" t="s">
        <v>782</v>
      </c>
      <c r="C134" s="47"/>
      <c r="D134" s="47"/>
      <c r="E134" s="52"/>
      <c r="F134" s="47"/>
    </row>
    <row r="135" spans="1:7" ht="15" hidden="1" customHeight="1" outlineLevel="1" x14ac:dyDescent="0.25">
      <c r="A135" s="90" t="s">
        <v>783</v>
      </c>
      <c r="C135" s="47"/>
      <c r="D135" s="47"/>
      <c r="E135" s="52"/>
      <c r="F135" s="47"/>
    </row>
    <row r="136" spans="1:7" ht="15" hidden="1" customHeight="1" outlineLevel="1" x14ac:dyDescent="0.25">
      <c r="A136" s="90" t="s">
        <v>784</v>
      </c>
      <c r="C136" s="47"/>
      <c r="D136" s="47"/>
      <c r="E136" s="52"/>
      <c r="F136" s="47"/>
    </row>
    <row r="137" spans="1:7" ht="15" hidden="1" customHeight="1" outlineLevel="1" x14ac:dyDescent="0.25">
      <c r="A137" s="90" t="s">
        <v>785</v>
      </c>
      <c r="C137" s="47"/>
      <c r="D137" s="47"/>
      <c r="E137" s="52"/>
      <c r="F137" s="47"/>
    </row>
    <row r="138" spans="1:7" ht="15" hidden="1" customHeight="1" outlineLevel="1" x14ac:dyDescent="0.25">
      <c r="A138" s="90" t="s">
        <v>786</v>
      </c>
      <c r="C138" s="47"/>
      <c r="D138" s="47"/>
      <c r="E138" s="52"/>
      <c r="F138" s="47"/>
    </row>
    <row r="139" spans="1:7" ht="15" hidden="1" customHeight="1" outlineLevel="1" x14ac:dyDescent="0.25">
      <c r="A139" s="90" t="s">
        <v>787</v>
      </c>
      <c r="C139" s="47"/>
      <c r="D139" s="47"/>
      <c r="E139" s="52"/>
      <c r="F139" s="47"/>
    </row>
    <row r="140" spans="1:7" ht="15" customHeight="1" collapsed="1" x14ac:dyDescent="0.25">
      <c r="A140" s="58"/>
      <c r="B140" s="60" t="s">
        <v>970</v>
      </c>
      <c r="C140" s="58" t="s">
        <v>142</v>
      </c>
      <c r="D140" s="58" t="s">
        <v>143</v>
      </c>
      <c r="E140" s="46"/>
      <c r="F140" s="59" t="s">
        <v>146</v>
      </c>
      <c r="G140" s="59"/>
    </row>
    <row r="141" spans="1:7" ht="15" customHeight="1" x14ac:dyDescent="0.25">
      <c r="A141" s="90" t="s">
        <v>788</v>
      </c>
      <c r="B141" s="90" t="s">
        <v>36</v>
      </c>
      <c r="C141" s="47">
        <f>0/C12</f>
        <v>0</v>
      </c>
      <c r="D141" s="47">
        <f>0/C13</f>
        <v>0</v>
      </c>
      <c r="E141" s="52"/>
      <c r="F141" s="47">
        <f t="shared" ref="F141:F146" si="2">(C141*$C$12+D141*$C$13)/$C$15</f>
        <v>0</v>
      </c>
    </row>
    <row r="142" spans="1:7" ht="15" customHeight="1" x14ac:dyDescent="0.25">
      <c r="A142" s="90" t="s">
        <v>789</v>
      </c>
      <c r="B142" s="90" t="s">
        <v>13</v>
      </c>
      <c r="C142" s="47">
        <f>261490201.06/C12</f>
        <v>6.9922596670581802E-2</v>
      </c>
      <c r="D142" s="47">
        <f>1005522166.56/C13</f>
        <v>0.26117803214097285</v>
      </c>
      <c r="E142" s="52"/>
      <c r="F142" s="47">
        <f t="shared" si="2"/>
        <v>0.16693930597533146</v>
      </c>
    </row>
    <row r="143" spans="1:7" ht="15" customHeight="1" x14ac:dyDescent="0.25">
      <c r="A143" s="90" t="s">
        <v>790</v>
      </c>
      <c r="B143" s="90" t="s">
        <v>2</v>
      </c>
      <c r="C143" s="47">
        <f>SUM(C144:C146)</f>
        <v>0.93007740332941824</v>
      </c>
      <c r="D143" s="47">
        <f>SUM(D144:D146)</f>
        <v>0.7388219678590271</v>
      </c>
      <c r="E143" s="52"/>
      <c r="F143" s="47">
        <f t="shared" si="2"/>
        <v>0.83306069402466854</v>
      </c>
    </row>
    <row r="144" spans="1:7" ht="15" hidden="1" customHeight="1" outlineLevel="1" x14ac:dyDescent="0.25">
      <c r="A144" s="90" t="s">
        <v>791</v>
      </c>
      <c r="B144" s="111" t="s">
        <v>1054</v>
      </c>
      <c r="C144" s="47">
        <f>0/C12</f>
        <v>0</v>
      </c>
      <c r="D144" s="47">
        <f>1607473851.17/C13</f>
        <v>0.41753118044424514</v>
      </c>
      <c r="E144" s="52"/>
      <c r="F144" s="47">
        <f t="shared" si="2"/>
        <v>0.21179790817029837</v>
      </c>
    </row>
    <row r="145" spans="1:15" ht="15" hidden="1" customHeight="1" outlineLevel="1" x14ac:dyDescent="0.25">
      <c r="A145" s="90" t="s">
        <v>792</v>
      </c>
      <c r="B145" s="111" t="s">
        <v>1057</v>
      </c>
      <c r="C145" s="47">
        <f>0/C12</f>
        <v>0</v>
      </c>
      <c r="D145" s="47">
        <f>0/C13</f>
        <v>0</v>
      </c>
      <c r="E145" s="52"/>
      <c r="F145" s="47">
        <f t="shared" si="2"/>
        <v>0</v>
      </c>
    </row>
    <row r="146" spans="1:15" ht="15" hidden="1" customHeight="1" outlineLevel="1" x14ac:dyDescent="0.25">
      <c r="A146" s="90" t="s">
        <v>793</v>
      </c>
      <c r="B146" s="111" t="s">
        <v>1053</v>
      </c>
      <c r="C146" s="47">
        <f>3478219327.92/C12</f>
        <v>0.93007740332941824</v>
      </c>
      <c r="D146" s="47">
        <f>1236953223.09/C13</f>
        <v>0.32129078741478195</v>
      </c>
      <c r="E146" s="52"/>
      <c r="F146" s="47">
        <f t="shared" si="2"/>
        <v>0.62126278585437023</v>
      </c>
    </row>
    <row r="147" spans="1:15" ht="15" hidden="1" customHeight="1" outlineLevel="1" x14ac:dyDescent="0.25">
      <c r="A147" s="90" t="s">
        <v>794</v>
      </c>
      <c r="C147" s="47"/>
      <c r="D147" s="47"/>
      <c r="E147" s="52"/>
      <c r="F147" s="47"/>
    </row>
    <row r="148" spans="1:15" ht="15" hidden="1" customHeight="1" outlineLevel="1" x14ac:dyDescent="0.25">
      <c r="A148" s="90" t="s">
        <v>795</v>
      </c>
      <c r="C148" s="47"/>
      <c r="D148" s="47"/>
      <c r="E148" s="52"/>
      <c r="F148" s="47"/>
    </row>
    <row r="149" spans="1:15" ht="15" hidden="1" customHeight="1" outlineLevel="1" x14ac:dyDescent="0.25">
      <c r="A149" s="90" t="s">
        <v>796</v>
      </c>
      <c r="C149" s="47"/>
      <c r="D149" s="47"/>
      <c r="E149" s="52"/>
      <c r="F149" s="47"/>
    </row>
    <row r="150" spans="1:15" ht="15" customHeight="1" collapsed="1" x14ac:dyDescent="0.25">
      <c r="A150" s="58"/>
      <c r="B150" s="60" t="s">
        <v>971</v>
      </c>
      <c r="C150" s="58" t="s">
        <v>142</v>
      </c>
      <c r="D150" s="58" t="s">
        <v>143</v>
      </c>
      <c r="E150" s="46"/>
      <c r="F150" s="59" t="s">
        <v>146</v>
      </c>
      <c r="G150" s="59"/>
    </row>
    <row r="151" spans="1:15" ht="15" customHeight="1" x14ac:dyDescent="0.25">
      <c r="A151" s="90" t="s">
        <v>797</v>
      </c>
      <c r="B151" s="7" t="s">
        <v>60</v>
      </c>
      <c r="C151" s="47">
        <f>723306420.19/C12</f>
        <v>0.19341246013491342</v>
      </c>
      <c r="D151" s="47">
        <f>281138837.49/C13</f>
        <v>7.3024037436431308E-2</v>
      </c>
      <c r="E151" s="52"/>
      <c r="F151" s="47">
        <f>(C151*C12+D151*C13)/$C$15</f>
        <v>0.13234392851451857</v>
      </c>
      <c r="M151" s="130"/>
      <c r="N151" s="131"/>
      <c r="O151" s="132"/>
    </row>
    <row r="152" spans="1:15" ht="15" customHeight="1" x14ac:dyDescent="0.25">
      <c r="A152" s="90" t="s">
        <v>798</v>
      </c>
      <c r="B152" s="7" t="s">
        <v>18</v>
      </c>
      <c r="C152" s="47">
        <f>1651091757.19/C12</f>
        <v>0.4415026740433321</v>
      </c>
      <c r="D152" s="47">
        <f>1232235183.09/C13</f>
        <v>0.32006530632272606</v>
      </c>
      <c r="E152" s="52"/>
      <c r="F152" s="47">
        <f>(C152*C12+D152*C13)/$C$15</f>
        <v>0.37990205195430415</v>
      </c>
      <c r="M152" s="130"/>
      <c r="N152" s="131"/>
      <c r="O152" s="132"/>
    </row>
    <row r="153" spans="1:15" ht="15" customHeight="1" x14ac:dyDescent="0.25">
      <c r="A153" s="90" t="s">
        <v>799</v>
      </c>
      <c r="B153" s="7" t="s">
        <v>19</v>
      </c>
      <c r="C153" s="47">
        <f>1261868540.31/C12</f>
        <v>0.33742421183555737</v>
      </c>
      <c r="D153" s="47">
        <f>737756839.42/C13</f>
        <v>0.19162767955425439</v>
      </c>
      <c r="F153" s="47">
        <f>(C153*C12+D153*C13)/$C$15</f>
        <v>0.26346709916481442</v>
      </c>
      <c r="M153" s="130"/>
      <c r="N153" s="131"/>
      <c r="O153" s="132"/>
    </row>
    <row r="154" spans="1:15" ht="15" customHeight="1" x14ac:dyDescent="0.25">
      <c r="A154" s="90" t="s">
        <v>800</v>
      </c>
      <c r="B154" s="7" t="s">
        <v>20</v>
      </c>
      <c r="C154" s="47">
        <f>83400366.86/C12</f>
        <v>2.2301295385031498E-2</v>
      </c>
      <c r="D154" s="47">
        <f>361191934.16/C13</f>
        <v>9.3817323701408023E-2</v>
      </c>
      <c r="F154" s="47">
        <f>(C154*C12+D154*C13)/$C$15</f>
        <v>5.8578694313514673E-2</v>
      </c>
      <c r="M154" s="130"/>
      <c r="N154" s="131"/>
      <c r="O154" s="132"/>
    </row>
    <row r="155" spans="1:15" ht="15" customHeight="1" x14ac:dyDescent="0.25">
      <c r="A155" s="90" t="s">
        <v>801</v>
      </c>
      <c r="B155" s="7" t="s">
        <v>21</v>
      </c>
      <c r="C155" s="47">
        <f>20042444.43/C12</f>
        <v>5.3593586011656223E-3</v>
      </c>
      <c r="D155" s="47">
        <f>1237626446.66/C13</f>
        <v>0.32146565298518021</v>
      </c>
      <c r="F155" s="47">
        <f>(C155*C12+D155*C13)/$C$15</f>
        <v>0.16570822605284818</v>
      </c>
      <c r="M155" s="130"/>
      <c r="N155" s="131"/>
      <c r="O155" s="132"/>
    </row>
    <row r="156" spans="1:15" ht="15" hidden="1" customHeight="1" outlineLevel="1" x14ac:dyDescent="0.25">
      <c r="A156" s="90" t="s">
        <v>802</v>
      </c>
      <c r="B156" s="7"/>
      <c r="C156" s="47"/>
      <c r="D156" s="47"/>
      <c r="F156" s="47"/>
    </row>
    <row r="157" spans="1:15" ht="15" hidden="1" customHeight="1" outlineLevel="1" x14ac:dyDescent="0.25">
      <c r="A157" s="90" t="s">
        <v>803</v>
      </c>
      <c r="B157" s="7"/>
      <c r="C157" s="47"/>
      <c r="D157" s="47"/>
      <c r="F157" s="47"/>
    </row>
    <row r="158" spans="1:15" ht="15" hidden="1" customHeight="1" outlineLevel="1" x14ac:dyDescent="0.25">
      <c r="A158" s="90" t="s">
        <v>804</v>
      </c>
      <c r="B158" s="7"/>
      <c r="C158" s="47"/>
      <c r="D158" s="47"/>
      <c r="F158" s="47"/>
    </row>
    <row r="159" spans="1:15" ht="15" hidden="1" customHeight="1" outlineLevel="1" x14ac:dyDescent="0.25">
      <c r="A159" s="90" t="s">
        <v>805</v>
      </c>
      <c r="B159" s="7"/>
      <c r="C159" s="47"/>
      <c r="D159" s="47"/>
      <c r="F159" s="47"/>
    </row>
    <row r="160" spans="1:15" ht="15" customHeight="1" collapsed="1" x14ac:dyDescent="0.25">
      <c r="A160" s="58"/>
      <c r="B160" s="60" t="s">
        <v>972</v>
      </c>
      <c r="C160" s="58" t="s">
        <v>142</v>
      </c>
      <c r="D160" s="58" t="s">
        <v>143</v>
      </c>
      <c r="E160" s="46"/>
      <c r="F160" s="59" t="s">
        <v>146</v>
      </c>
      <c r="G160" s="59"/>
    </row>
    <row r="161" spans="1:10" ht="15" customHeight="1" x14ac:dyDescent="0.25">
      <c r="A161" s="90" t="s">
        <v>806</v>
      </c>
      <c r="B161" s="90" t="s">
        <v>86</v>
      </c>
      <c r="C161" s="47">
        <f>147568.05/C12</f>
        <v>3.94597625447795E-5</v>
      </c>
      <c r="D161" s="47">
        <f>9639380.66/C12</f>
        <v>2.5775746980619446E-3</v>
      </c>
      <c r="E161" s="52"/>
      <c r="F161" s="47">
        <f>(147568.05+9639380.66)/$C$15</f>
        <v>1.2895110316346809E-3</v>
      </c>
    </row>
    <row r="162" spans="1:10" ht="15" hidden="1" customHeight="1" outlineLevel="1" x14ac:dyDescent="0.25">
      <c r="A162" s="90" t="s">
        <v>807</v>
      </c>
      <c r="C162" s="47"/>
      <c r="D162" s="47"/>
      <c r="E162" s="52"/>
      <c r="F162" s="47"/>
    </row>
    <row r="163" spans="1:10" ht="15" hidden="1" customHeight="1" outlineLevel="1" x14ac:dyDescent="0.25">
      <c r="A163" s="90" t="s">
        <v>808</v>
      </c>
      <c r="C163" s="47"/>
      <c r="D163" s="47"/>
      <c r="E163" s="52"/>
      <c r="F163" s="47"/>
    </row>
    <row r="164" spans="1:10" ht="15" hidden="1" customHeight="1" outlineLevel="1" x14ac:dyDescent="0.25">
      <c r="A164" s="90" t="s">
        <v>809</v>
      </c>
      <c r="C164" s="47"/>
      <c r="D164" s="47"/>
      <c r="E164" s="52"/>
      <c r="F164" s="47"/>
    </row>
    <row r="165" spans="1:10" ht="15" hidden="1" customHeight="1" outlineLevel="1" x14ac:dyDescent="0.25">
      <c r="A165" s="90" t="s">
        <v>810</v>
      </c>
      <c r="C165" s="47"/>
      <c r="D165" s="47"/>
      <c r="E165" s="52"/>
      <c r="F165" s="47"/>
    </row>
    <row r="166" spans="1:10" ht="15" customHeight="1" collapsed="1" x14ac:dyDescent="0.25">
      <c r="A166" s="37"/>
      <c r="B166" s="40" t="s">
        <v>223</v>
      </c>
      <c r="C166" s="110"/>
      <c r="D166" s="37"/>
      <c r="E166" s="37"/>
      <c r="F166" s="38"/>
      <c r="G166" s="38"/>
      <c r="I166" s="133"/>
    </row>
    <row r="167" spans="1:10" ht="15" customHeight="1" x14ac:dyDescent="0.25">
      <c r="A167" s="58"/>
      <c r="B167" s="60" t="s">
        <v>973</v>
      </c>
      <c r="C167" s="58" t="s">
        <v>150</v>
      </c>
      <c r="D167" s="58" t="s">
        <v>56</v>
      </c>
      <c r="E167" s="46"/>
      <c r="F167" s="58" t="s">
        <v>142</v>
      </c>
      <c r="G167" s="58" t="s">
        <v>148</v>
      </c>
    </row>
    <row r="168" spans="1:10" ht="15" customHeight="1" x14ac:dyDescent="0.25">
      <c r="A168" s="90" t="s">
        <v>811</v>
      </c>
      <c r="B168" s="86" t="s">
        <v>87</v>
      </c>
      <c r="C168" s="113">
        <f>C12*1000/C28</f>
        <v>249380470.05734864</v>
      </c>
      <c r="D168" s="135">
        <f>C28</f>
        <v>14996</v>
      </c>
      <c r="E168" s="45"/>
      <c r="F168" s="47"/>
      <c r="G168" s="47"/>
    </row>
    <row r="169" spans="1:10" ht="15" customHeight="1" x14ac:dyDescent="0.25">
      <c r="A169" s="45"/>
      <c r="B169" s="88"/>
      <c r="C169" s="113"/>
      <c r="D169" s="45"/>
      <c r="E169" s="45"/>
      <c r="F169" s="47"/>
      <c r="G169" s="47"/>
    </row>
    <row r="170" spans="1:10" ht="15" customHeight="1" x14ac:dyDescent="0.25">
      <c r="B170" s="86" t="s">
        <v>151</v>
      </c>
      <c r="C170" s="113"/>
      <c r="D170" s="45"/>
      <c r="E170" s="45"/>
      <c r="F170" s="47"/>
      <c r="G170" s="47"/>
    </row>
    <row r="171" spans="1:10" ht="15" customHeight="1" x14ac:dyDescent="0.25">
      <c r="A171" s="90" t="s">
        <v>812</v>
      </c>
      <c r="B171" s="86" t="s">
        <v>1041</v>
      </c>
      <c r="C171" s="113">
        <v>1293256801.53</v>
      </c>
      <c r="D171" s="90">
        <v>9013</v>
      </c>
      <c r="E171" s="45"/>
      <c r="F171" s="47">
        <f t="shared" ref="F171:F181" si="3">IF($C$182=0,"",IF(C171="[for completion]","",C171/$C$182))</f>
        <v>0.34581744691886102</v>
      </c>
      <c r="G171" s="47">
        <f t="shared" ref="G171:G181" si="4">IF($D$182=0,"",IF(D171="[for completion]","",D171/$D$182))</f>
        <v>0.60106702234078024</v>
      </c>
      <c r="J171" s="116"/>
    </row>
    <row r="172" spans="1:10" ht="15" customHeight="1" x14ac:dyDescent="0.25">
      <c r="A172" s="90" t="s">
        <v>813</v>
      </c>
      <c r="B172" s="86" t="s">
        <v>1043</v>
      </c>
      <c r="C172" s="113">
        <v>1652484916.25</v>
      </c>
      <c r="D172" s="90">
        <v>4816</v>
      </c>
      <c r="E172" s="45"/>
      <c r="F172" s="47">
        <f t="shared" si="3"/>
        <v>0.44187520539883018</v>
      </c>
      <c r="G172" s="47">
        <f t="shared" si="4"/>
        <v>0.32117372457485827</v>
      </c>
      <c r="J172" s="116"/>
    </row>
    <row r="173" spans="1:10" ht="15" customHeight="1" x14ac:dyDescent="0.25">
      <c r="A173" s="90" t="s">
        <v>814</v>
      </c>
      <c r="B173" s="86" t="s">
        <v>1042</v>
      </c>
      <c r="C173" s="113">
        <v>679223247.79999995</v>
      </c>
      <c r="D173" s="90">
        <v>1082</v>
      </c>
      <c r="E173" s="45"/>
      <c r="F173" s="47">
        <f t="shared" si="3"/>
        <v>0.18162460012910603</v>
      </c>
      <c r="G173" s="47">
        <f t="shared" si="4"/>
        <v>7.2157385795265094E-2</v>
      </c>
      <c r="J173" s="116"/>
    </row>
    <row r="174" spans="1:10" ht="15" customHeight="1" x14ac:dyDescent="0.25">
      <c r="A174" s="90" t="s">
        <v>815</v>
      </c>
      <c r="B174" s="86" t="s">
        <v>1044</v>
      </c>
      <c r="C174" s="113">
        <v>114744563.40000001</v>
      </c>
      <c r="D174" s="90">
        <v>84</v>
      </c>
      <c r="E174" s="45"/>
      <c r="F174" s="47">
        <f t="shared" si="3"/>
        <v>3.0682747553202723E-2</v>
      </c>
      <c r="G174" s="47">
        <f t="shared" si="4"/>
        <v>5.6018672890963657E-3</v>
      </c>
      <c r="J174" s="116"/>
    </row>
    <row r="175" spans="1:10" ht="15" customHeight="1" x14ac:dyDescent="0.25">
      <c r="A175" s="90" t="s">
        <v>816</v>
      </c>
      <c r="B175" s="86" t="s">
        <v>1045</v>
      </c>
      <c r="C175" s="113">
        <v>0</v>
      </c>
      <c r="D175" s="90">
        <v>0</v>
      </c>
      <c r="E175" s="45"/>
      <c r="F175" s="47">
        <f t="shared" si="3"/>
        <v>0</v>
      </c>
      <c r="G175" s="47">
        <f t="shared" si="4"/>
        <v>0</v>
      </c>
      <c r="J175" s="116"/>
    </row>
    <row r="176" spans="1:10" ht="15" customHeight="1" x14ac:dyDescent="0.25">
      <c r="A176" s="90" t="s">
        <v>817</v>
      </c>
      <c r="B176" s="86" t="s">
        <v>1046</v>
      </c>
      <c r="C176" s="113">
        <v>0</v>
      </c>
      <c r="D176" s="90">
        <v>0</v>
      </c>
      <c r="E176" s="45"/>
      <c r="F176" s="47">
        <f t="shared" si="3"/>
        <v>0</v>
      </c>
      <c r="G176" s="47">
        <f t="shared" si="4"/>
        <v>0</v>
      </c>
      <c r="J176" s="116"/>
    </row>
    <row r="177" spans="1:12" ht="15" customHeight="1" x14ac:dyDescent="0.25">
      <c r="A177" s="90" t="s">
        <v>818</v>
      </c>
      <c r="B177" s="86" t="s">
        <v>1047</v>
      </c>
      <c r="C177" s="113">
        <v>0</v>
      </c>
      <c r="D177" s="90">
        <v>0</v>
      </c>
      <c r="E177" s="45"/>
      <c r="F177" s="47">
        <f t="shared" si="3"/>
        <v>0</v>
      </c>
      <c r="G177" s="47">
        <f t="shared" si="4"/>
        <v>0</v>
      </c>
      <c r="J177" s="116"/>
    </row>
    <row r="178" spans="1:12" ht="15" customHeight="1" x14ac:dyDescent="0.25">
      <c r="A178" s="90" t="s">
        <v>819</v>
      </c>
      <c r="B178" s="86" t="s">
        <v>1048</v>
      </c>
      <c r="C178" s="113">
        <v>0</v>
      </c>
      <c r="D178" s="90">
        <v>0</v>
      </c>
      <c r="E178" s="45"/>
      <c r="F178" s="47">
        <f t="shared" si="3"/>
        <v>0</v>
      </c>
      <c r="G178" s="47">
        <f t="shared" si="4"/>
        <v>0</v>
      </c>
      <c r="J178" s="116"/>
    </row>
    <row r="179" spans="1:12" ht="15" customHeight="1" x14ac:dyDescent="0.25">
      <c r="A179" s="90" t="s">
        <v>820</v>
      </c>
      <c r="B179" s="86" t="s">
        <v>1049</v>
      </c>
      <c r="C179" s="113">
        <v>0</v>
      </c>
      <c r="D179" s="90">
        <v>0</v>
      </c>
      <c r="E179" s="45"/>
      <c r="F179" s="47">
        <f t="shared" si="3"/>
        <v>0</v>
      </c>
      <c r="G179" s="47">
        <f t="shared" si="4"/>
        <v>0</v>
      </c>
      <c r="J179" s="116"/>
    </row>
    <row r="180" spans="1:12" ht="15" customHeight="1" x14ac:dyDescent="0.25">
      <c r="A180" s="90" t="s">
        <v>821</v>
      </c>
      <c r="B180" s="86" t="s">
        <v>1050</v>
      </c>
      <c r="C180" s="113">
        <v>0</v>
      </c>
      <c r="D180" s="90">
        <v>0</v>
      </c>
      <c r="E180" s="86"/>
      <c r="F180" s="47">
        <f t="shared" si="3"/>
        <v>0</v>
      </c>
      <c r="G180" s="47">
        <f t="shared" si="4"/>
        <v>0</v>
      </c>
      <c r="J180" s="116"/>
    </row>
    <row r="181" spans="1:12" ht="15" customHeight="1" x14ac:dyDescent="0.25">
      <c r="A181" s="90" t="s">
        <v>822</v>
      </c>
      <c r="B181" s="86" t="s">
        <v>1051</v>
      </c>
      <c r="C181" s="113">
        <v>0</v>
      </c>
      <c r="D181" s="90">
        <v>0</v>
      </c>
      <c r="E181" s="86"/>
      <c r="F181" s="47">
        <f t="shared" si="3"/>
        <v>0</v>
      </c>
      <c r="G181" s="47">
        <f t="shared" si="4"/>
        <v>0</v>
      </c>
      <c r="J181" s="116"/>
    </row>
    <row r="182" spans="1:12" ht="15" customHeight="1" x14ac:dyDescent="0.25">
      <c r="A182" s="90" t="s">
        <v>823</v>
      </c>
      <c r="B182" s="56" t="s">
        <v>1</v>
      </c>
      <c r="C182" s="117">
        <f>SUM(C171:C181)</f>
        <v>3739709528.98</v>
      </c>
      <c r="D182" s="86">
        <f>SUM(D171:D181)</f>
        <v>14995</v>
      </c>
      <c r="E182" s="57"/>
      <c r="F182" s="47">
        <f>SUM(F171:F181)</f>
        <v>1</v>
      </c>
      <c r="G182" s="47">
        <f>SUM(G171:G181)</f>
        <v>1</v>
      </c>
    </row>
    <row r="183" spans="1:12" ht="15" customHeight="1" x14ac:dyDescent="0.25">
      <c r="A183" s="58"/>
      <c r="B183" s="60" t="s">
        <v>974</v>
      </c>
      <c r="C183" s="58" t="s">
        <v>150</v>
      </c>
      <c r="D183" s="58" t="s">
        <v>56</v>
      </c>
      <c r="E183" s="46"/>
      <c r="F183" s="58" t="s">
        <v>142</v>
      </c>
      <c r="G183" s="58" t="s">
        <v>148</v>
      </c>
    </row>
    <row r="184" spans="1:12" ht="15" customHeight="1" x14ac:dyDescent="0.25">
      <c r="A184" s="90" t="s">
        <v>824</v>
      </c>
      <c r="B184" s="90" t="s">
        <v>135</v>
      </c>
      <c r="C184" s="119">
        <v>77.140691113229394</v>
      </c>
      <c r="F184" s="47"/>
      <c r="G184" s="47"/>
    </row>
    <row r="185" spans="1:12" ht="15" customHeight="1" x14ac:dyDescent="0.25">
      <c r="C185" s="113"/>
      <c r="F185" s="47"/>
      <c r="G185" s="47"/>
    </row>
    <row r="186" spans="1:12" ht="15" customHeight="1" x14ac:dyDescent="0.25">
      <c r="B186" s="86" t="s">
        <v>244</v>
      </c>
      <c r="C186" s="113"/>
      <c r="F186" s="47"/>
      <c r="G186" s="47"/>
    </row>
    <row r="187" spans="1:12" ht="15" customHeight="1" x14ac:dyDescent="0.25">
      <c r="A187" s="90" t="s">
        <v>825</v>
      </c>
      <c r="B187" s="90" t="s">
        <v>166</v>
      </c>
      <c r="C187" s="113">
        <v>259388044.53999999</v>
      </c>
      <c r="D187" s="90">
        <v>2413</v>
      </c>
      <c r="F187" s="47">
        <f t="shared" ref="F187:F194" si="5">IF($C$195=0,"",IF(C187="[for completion]","",C187/$C$195))</f>
        <v>6.9360479077300877E-2</v>
      </c>
      <c r="G187" s="47">
        <f t="shared" ref="G187:G194" si="6">IF($D$195=0,"",IF(D187="[for completion]","",D187/$D$195))</f>
        <v>0.16092030676892297</v>
      </c>
      <c r="J187" s="116"/>
      <c r="L187" s="134"/>
    </row>
    <row r="188" spans="1:12" ht="15" customHeight="1" x14ac:dyDescent="0.25">
      <c r="A188" s="90" t="s">
        <v>826</v>
      </c>
      <c r="B188" s="90" t="s">
        <v>168</v>
      </c>
      <c r="C188" s="113">
        <v>196283278.97999999</v>
      </c>
      <c r="D188" s="90">
        <v>1075</v>
      </c>
      <c r="F188" s="47">
        <f t="shared" si="5"/>
        <v>5.2486236553654461E-2</v>
      </c>
      <c r="G188" s="47">
        <f t="shared" si="6"/>
        <v>7.1690563521173728E-2</v>
      </c>
      <c r="J188" s="116"/>
      <c r="L188" s="134"/>
    </row>
    <row r="189" spans="1:12" ht="15" customHeight="1" x14ac:dyDescent="0.25">
      <c r="A189" s="90" t="s">
        <v>827</v>
      </c>
      <c r="B189" s="90" t="s">
        <v>169</v>
      </c>
      <c r="C189" s="113">
        <v>261119821.75999999</v>
      </c>
      <c r="D189" s="90">
        <v>1199</v>
      </c>
      <c r="F189" s="47">
        <f t="shared" si="5"/>
        <v>6.9823557080172488E-2</v>
      </c>
      <c r="G189" s="47">
        <f t="shared" si="6"/>
        <v>7.9959986662220733E-2</v>
      </c>
      <c r="J189" s="116"/>
      <c r="L189" s="134"/>
    </row>
    <row r="190" spans="1:12" ht="15" customHeight="1" x14ac:dyDescent="0.25">
      <c r="A190" s="90" t="s">
        <v>828</v>
      </c>
      <c r="B190" s="90" t="s">
        <v>170</v>
      </c>
      <c r="C190" s="113">
        <v>333432354.80000001</v>
      </c>
      <c r="D190" s="90">
        <v>1321</v>
      </c>
      <c r="F190" s="47">
        <f t="shared" si="5"/>
        <v>8.9159960744583058E-2</v>
      </c>
      <c r="G190" s="47">
        <f t="shared" si="6"/>
        <v>8.8096032010670219E-2</v>
      </c>
      <c r="J190" s="116"/>
      <c r="L190" s="134"/>
    </row>
    <row r="191" spans="1:12" ht="15" customHeight="1" x14ac:dyDescent="0.25">
      <c r="A191" s="90" t="s">
        <v>829</v>
      </c>
      <c r="B191" s="90" t="s">
        <v>171</v>
      </c>
      <c r="C191" s="113">
        <v>487853519.98000002</v>
      </c>
      <c r="D191" s="90">
        <v>1724</v>
      </c>
      <c r="F191" s="47">
        <f t="shared" si="5"/>
        <v>0.13045224935238789</v>
      </c>
      <c r="G191" s="47">
        <f t="shared" si="6"/>
        <v>0.11497165721907303</v>
      </c>
      <c r="J191" s="116"/>
      <c r="L191" s="134"/>
    </row>
    <row r="192" spans="1:12" ht="15" customHeight="1" x14ac:dyDescent="0.25">
      <c r="A192" s="90" t="s">
        <v>830</v>
      </c>
      <c r="B192" s="90" t="s">
        <v>172</v>
      </c>
      <c r="C192" s="113">
        <v>895057381.11000001</v>
      </c>
      <c r="D192" s="90">
        <v>3059</v>
      </c>
      <c r="F192" s="47">
        <f t="shared" si="5"/>
        <v>0.23933874387140586</v>
      </c>
      <c r="G192" s="47">
        <f t="shared" si="6"/>
        <v>0.20400133377792598</v>
      </c>
      <c r="J192" s="116"/>
      <c r="L192" s="134"/>
    </row>
    <row r="193" spans="1:12" ht="15" customHeight="1" x14ac:dyDescent="0.25">
      <c r="A193" s="90" t="s">
        <v>831</v>
      </c>
      <c r="B193" s="90" t="s">
        <v>173</v>
      </c>
      <c r="C193" s="113">
        <v>1306575127.8099999</v>
      </c>
      <c r="D193" s="90">
        <v>4204</v>
      </c>
      <c r="F193" s="47">
        <f t="shared" si="5"/>
        <v>0.34937877332049538</v>
      </c>
      <c r="G193" s="47">
        <f t="shared" si="6"/>
        <v>0.28036012004001332</v>
      </c>
      <c r="J193" s="116"/>
      <c r="L193" s="134"/>
    </row>
    <row r="194" spans="1:12" ht="15" customHeight="1" x14ac:dyDescent="0.25">
      <c r="A194" s="90" t="s">
        <v>832</v>
      </c>
      <c r="B194" s="90" t="s">
        <v>167</v>
      </c>
      <c r="C194" s="113">
        <f>SUM(C196:C201)</f>
        <v>0</v>
      </c>
      <c r="D194" s="90">
        <f>SUM(D196:D201)</f>
        <v>0</v>
      </c>
      <c r="F194" s="47">
        <f t="shared" si="5"/>
        <v>0</v>
      </c>
      <c r="G194" s="47">
        <f t="shared" si="6"/>
        <v>0</v>
      </c>
      <c r="J194" s="116"/>
      <c r="L194" s="134"/>
    </row>
    <row r="195" spans="1:12" ht="15" customHeight="1" x14ac:dyDescent="0.25">
      <c r="A195" s="90" t="s">
        <v>833</v>
      </c>
      <c r="B195" s="56" t="s">
        <v>1</v>
      </c>
      <c r="C195" s="113">
        <f>SUM(C187:C194)</f>
        <v>3739709528.98</v>
      </c>
      <c r="D195" s="90">
        <f>SUM(D187:D194)</f>
        <v>14995</v>
      </c>
      <c r="F195" s="47">
        <f>SUM(F187:F194)</f>
        <v>1</v>
      </c>
      <c r="G195" s="47">
        <f>SUM(G187:G194)</f>
        <v>1</v>
      </c>
    </row>
    <row r="196" spans="1:12" ht="15" customHeight="1" outlineLevel="1" x14ac:dyDescent="0.25">
      <c r="A196" s="90" t="s">
        <v>834</v>
      </c>
      <c r="B196" s="67" t="s">
        <v>174</v>
      </c>
      <c r="C196" s="113">
        <v>0</v>
      </c>
      <c r="D196" s="90">
        <v>0</v>
      </c>
      <c r="F196" s="47">
        <f t="shared" ref="F196:F201" si="7">IF($C$195=0,"",IF(C196="[for completion]","",C196/$C$195))</f>
        <v>0</v>
      </c>
      <c r="G196" s="47">
        <f t="shared" ref="G196:G201" si="8">IF($D$195=0,"",IF(D196="[for completion]","",D196/$D$195))</f>
        <v>0</v>
      </c>
    </row>
    <row r="197" spans="1:12" ht="15" customHeight="1" outlineLevel="1" x14ac:dyDescent="0.25">
      <c r="A197" s="90" t="s">
        <v>835</v>
      </c>
      <c r="B197" s="67" t="s">
        <v>175</v>
      </c>
      <c r="C197" s="113">
        <v>0</v>
      </c>
      <c r="D197" s="90">
        <v>0</v>
      </c>
      <c r="F197" s="47">
        <f t="shared" si="7"/>
        <v>0</v>
      </c>
      <c r="G197" s="47">
        <f t="shared" si="8"/>
        <v>0</v>
      </c>
    </row>
    <row r="198" spans="1:12" ht="15" customHeight="1" outlineLevel="1" x14ac:dyDescent="0.25">
      <c r="A198" s="90" t="s">
        <v>836</v>
      </c>
      <c r="B198" s="67" t="s">
        <v>176</v>
      </c>
      <c r="C198" s="113">
        <v>0</v>
      </c>
      <c r="D198" s="90">
        <v>0</v>
      </c>
      <c r="F198" s="47">
        <f t="shared" si="7"/>
        <v>0</v>
      </c>
      <c r="G198" s="47">
        <f t="shared" si="8"/>
        <v>0</v>
      </c>
    </row>
    <row r="199" spans="1:12" ht="15" customHeight="1" outlineLevel="1" x14ac:dyDescent="0.25">
      <c r="A199" s="90" t="s">
        <v>837</v>
      </c>
      <c r="B199" s="67" t="s">
        <v>177</v>
      </c>
      <c r="C199" s="113">
        <v>0</v>
      </c>
      <c r="D199" s="90">
        <v>0</v>
      </c>
      <c r="F199" s="47">
        <f t="shared" si="7"/>
        <v>0</v>
      </c>
      <c r="G199" s="47">
        <f t="shared" si="8"/>
        <v>0</v>
      </c>
    </row>
    <row r="200" spans="1:12" ht="15" customHeight="1" outlineLevel="1" x14ac:dyDescent="0.25">
      <c r="A200" s="90" t="s">
        <v>838</v>
      </c>
      <c r="B200" s="67" t="s">
        <v>178</v>
      </c>
      <c r="C200" s="113">
        <v>0</v>
      </c>
      <c r="D200" s="90">
        <v>0</v>
      </c>
      <c r="F200" s="47">
        <f t="shared" si="7"/>
        <v>0</v>
      </c>
      <c r="G200" s="47">
        <f t="shared" si="8"/>
        <v>0</v>
      </c>
    </row>
    <row r="201" spans="1:12" ht="15" customHeight="1" outlineLevel="1" x14ac:dyDescent="0.25">
      <c r="A201" s="90" t="s">
        <v>839</v>
      </c>
      <c r="B201" s="67" t="s">
        <v>179</v>
      </c>
      <c r="C201" s="113">
        <v>0</v>
      </c>
      <c r="D201" s="90">
        <v>0</v>
      </c>
      <c r="F201" s="47">
        <f t="shared" si="7"/>
        <v>0</v>
      </c>
      <c r="G201" s="47">
        <f t="shared" si="8"/>
        <v>0</v>
      </c>
    </row>
    <row r="202" spans="1:12" ht="15" customHeight="1" outlineLevel="1" x14ac:dyDescent="0.25">
      <c r="A202" s="90" t="s">
        <v>840</v>
      </c>
      <c r="B202" s="67"/>
      <c r="C202" s="113"/>
      <c r="F202" s="47"/>
      <c r="G202" s="47"/>
    </row>
    <row r="203" spans="1:12" ht="15" customHeight="1" outlineLevel="1" x14ac:dyDescent="0.25">
      <c r="A203" s="90" t="s">
        <v>841</v>
      </c>
      <c r="B203" s="67"/>
      <c r="C203" s="113"/>
      <c r="F203" s="47"/>
      <c r="G203" s="47"/>
    </row>
    <row r="204" spans="1:12" ht="15" customHeight="1" outlineLevel="1" x14ac:dyDescent="0.25">
      <c r="A204" s="90" t="s">
        <v>842</v>
      </c>
      <c r="B204" s="67"/>
      <c r="C204" s="113"/>
      <c r="F204" s="47"/>
      <c r="G204" s="47"/>
    </row>
    <row r="205" spans="1:12" ht="15" customHeight="1" x14ac:dyDescent="0.25">
      <c r="A205" s="58"/>
      <c r="B205" s="60" t="s">
        <v>975</v>
      </c>
      <c r="C205" s="58" t="s">
        <v>150</v>
      </c>
      <c r="D205" s="58" t="s">
        <v>56</v>
      </c>
      <c r="E205" s="46"/>
      <c r="F205" s="58" t="s">
        <v>142</v>
      </c>
      <c r="G205" s="58" t="s">
        <v>148</v>
      </c>
    </row>
    <row r="206" spans="1:12" ht="15" customHeight="1" x14ac:dyDescent="0.25">
      <c r="A206" s="90" t="s">
        <v>843</v>
      </c>
      <c r="B206" s="90" t="s">
        <v>135</v>
      </c>
      <c r="C206" s="113" t="s">
        <v>183</v>
      </c>
      <c r="F206" s="47"/>
      <c r="G206" s="47"/>
    </row>
    <row r="207" spans="1:12" ht="15" customHeight="1" x14ac:dyDescent="0.25">
      <c r="C207" s="113"/>
      <c r="F207" s="47"/>
      <c r="G207" s="47"/>
    </row>
    <row r="208" spans="1:12" ht="15" customHeight="1" x14ac:dyDescent="0.25">
      <c r="B208" s="86" t="s">
        <v>244</v>
      </c>
      <c r="C208" s="113"/>
      <c r="F208" s="47"/>
      <c r="G208" s="47"/>
    </row>
    <row r="209" spans="1:7" ht="15" customHeight="1" x14ac:dyDescent="0.25">
      <c r="A209" s="90" t="s">
        <v>844</v>
      </c>
      <c r="B209" s="90" t="s">
        <v>166</v>
      </c>
      <c r="C209" s="113" t="s">
        <v>183</v>
      </c>
      <c r="D209" s="113" t="s">
        <v>183</v>
      </c>
      <c r="F209" s="47" t="str">
        <f t="shared" ref="F209:F216" si="9">IF($C$217=0,"",IF(C209="[Mark as ND1 if not relevant]","",C209/$C$217))</f>
        <v/>
      </c>
      <c r="G209" s="47" t="str">
        <f t="shared" ref="G209:G216" si="10">IF($D$217=0,"",IF(D209="[Mark as ND1 if not relevant]","",D209/$D$217))</f>
        <v/>
      </c>
    </row>
    <row r="210" spans="1:7" ht="15" customHeight="1" x14ac:dyDescent="0.25">
      <c r="A210" s="90" t="s">
        <v>845</v>
      </c>
      <c r="B210" s="90" t="s">
        <v>168</v>
      </c>
      <c r="C210" s="113" t="s">
        <v>183</v>
      </c>
      <c r="D210" s="113" t="s">
        <v>183</v>
      </c>
      <c r="F210" s="47" t="str">
        <f t="shared" si="9"/>
        <v/>
      </c>
      <c r="G210" s="47" t="str">
        <f t="shared" si="10"/>
        <v/>
      </c>
    </row>
    <row r="211" spans="1:7" ht="15" customHeight="1" x14ac:dyDescent="0.25">
      <c r="A211" s="90" t="s">
        <v>846</v>
      </c>
      <c r="B211" s="90" t="s">
        <v>169</v>
      </c>
      <c r="C211" s="113" t="s">
        <v>183</v>
      </c>
      <c r="D211" s="113" t="s">
        <v>183</v>
      </c>
      <c r="F211" s="47" t="str">
        <f t="shared" si="9"/>
        <v/>
      </c>
      <c r="G211" s="47" t="str">
        <f t="shared" si="10"/>
        <v/>
      </c>
    </row>
    <row r="212" spans="1:7" ht="15" customHeight="1" x14ac:dyDescent="0.25">
      <c r="A212" s="90" t="s">
        <v>847</v>
      </c>
      <c r="B212" s="90" t="s">
        <v>170</v>
      </c>
      <c r="C212" s="113" t="s">
        <v>183</v>
      </c>
      <c r="D212" s="113" t="s">
        <v>183</v>
      </c>
      <c r="F212" s="47" t="str">
        <f t="shared" si="9"/>
        <v/>
      </c>
      <c r="G212" s="47" t="str">
        <f t="shared" si="10"/>
        <v/>
      </c>
    </row>
    <row r="213" spans="1:7" ht="15" customHeight="1" x14ac:dyDescent="0.25">
      <c r="A213" s="90" t="s">
        <v>848</v>
      </c>
      <c r="B213" s="90" t="s">
        <v>171</v>
      </c>
      <c r="C213" s="113" t="s">
        <v>183</v>
      </c>
      <c r="D213" s="113" t="s">
        <v>183</v>
      </c>
      <c r="F213" s="47" t="str">
        <f t="shared" si="9"/>
        <v/>
      </c>
      <c r="G213" s="47" t="str">
        <f t="shared" si="10"/>
        <v/>
      </c>
    </row>
    <row r="214" spans="1:7" ht="15" customHeight="1" x14ac:dyDescent="0.25">
      <c r="A214" s="90" t="s">
        <v>849</v>
      </c>
      <c r="B214" s="90" t="s">
        <v>172</v>
      </c>
      <c r="C214" s="113" t="s">
        <v>183</v>
      </c>
      <c r="D214" s="113" t="s">
        <v>183</v>
      </c>
      <c r="F214" s="47" t="str">
        <f t="shared" si="9"/>
        <v/>
      </c>
      <c r="G214" s="47" t="str">
        <f t="shared" si="10"/>
        <v/>
      </c>
    </row>
    <row r="215" spans="1:7" ht="15" customHeight="1" x14ac:dyDescent="0.25">
      <c r="A215" s="90" t="s">
        <v>850</v>
      </c>
      <c r="B215" s="90" t="s">
        <v>173</v>
      </c>
      <c r="C215" s="113" t="s">
        <v>183</v>
      </c>
      <c r="D215" s="113" t="s">
        <v>183</v>
      </c>
      <c r="F215" s="47" t="str">
        <f t="shared" si="9"/>
        <v/>
      </c>
      <c r="G215" s="47" t="str">
        <f t="shared" si="10"/>
        <v/>
      </c>
    </row>
    <row r="216" spans="1:7" ht="15" customHeight="1" x14ac:dyDescent="0.25">
      <c r="A216" s="90" t="s">
        <v>851</v>
      </c>
      <c r="B216" s="90" t="s">
        <v>167</v>
      </c>
      <c r="C216" s="113" t="s">
        <v>183</v>
      </c>
      <c r="D216" s="113" t="s">
        <v>183</v>
      </c>
      <c r="F216" s="47" t="str">
        <f t="shared" si="9"/>
        <v/>
      </c>
      <c r="G216" s="47" t="str">
        <f t="shared" si="10"/>
        <v/>
      </c>
    </row>
    <row r="217" spans="1:7" ht="15" customHeight="1" x14ac:dyDescent="0.25">
      <c r="A217" s="90" t="s">
        <v>852</v>
      </c>
      <c r="B217" s="56" t="s">
        <v>1</v>
      </c>
      <c r="C217" s="113">
        <f>SUM(C209:C216)</f>
        <v>0</v>
      </c>
      <c r="D217" s="90">
        <f>SUM(D209:D216)</f>
        <v>0</v>
      </c>
      <c r="F217" s="47">
        <f>SUM(F209:F216)</f>
        <v>0</v>
      </c>
      <c r="G217" s="47">
        <f>SUM(G209:G216)</f>
        <v>0</v>
      </c>
    </row>
    <row r="218" spans="1:7" ht="15" hidden="1" customHeight="1" outlineLevel="1" x14ac:dyDescent="0.25">
      <c r="A218" s="90" t="s">
        <v>853</v>
      </c>
      <c r="B218" s="67" t="s">
        <v>174</v>
      </c>
      <c r="C218" s="113"/>
      <c r="F218" s="47" t="str">
        <f t="shared" ref="F218:F223" si="11">IF($C$217=0,"",IF(C218="[for completion]","",C218/$C$217))</f>
        <v/>
      </c>
      <c r="G218" s="47">
        <f>0</f>
        <v>0</v>
      </c>
    </row>
    <row r="219" spans="1:7" ht="15" hidden="1" customHeight="1" outlineLevel="1" x14ac:dyDescent="0.25">
      <c r="A219" s="90" t="s">
        <v>854</v>
      </c>
      <c r="B219" s="67" t="s">
        <v>175</v>
      </c>
      <c r="C219" s="113"/>
      <c r="F219" s="47" t="str">
        <f t="shared" si="11"/>
        <v/>
      </c>
      <c r="G219" s="47">
        <f>0</f>
        <v>0</v>
      </c>
    </row>
    <row r="220" spans="1:7" ht="15" hidden="1" customHeight="1" outlineLevel="1" x14ac:dyDescent="0.25">
      <c r="A220" s="90" t="s">
        <v>855</v>
      </c>
      <c r="B220" s="67" t="s">
        <v>176</v>
      </c>
      <c r="C220" s="113"/>
      <c r="F220" s="47" t="str">
        <f t="shared" si="11"/>
        <v/>
      </c>
      <c r="G220" s="47">
        <f>0</f>
        <v>0</v>
      </c>
    </row>
    <row r="221" spans="1:7" ht="15" hidden="1" customHeight="1" outlineLevel="1" x14ac:dyDescent="0.25">
      <c r="A221" s="90" t="s">
        <v>856</v>
      </c>
      <c r="B221" s="67" t="s">
        <v>177</v>
      </c>
      <c r="C221" s="113"/>
      <c r="F221" s="47" t="str">
        <f t="shared" si="11"/>
        <v/>
      </c>
      <c r="G221" s="47">
        <f>0</f>
        <v>0</v>
      </c>
    </row>
    <row r="222" spans="1:7" ht="15" hidden="1" customHeight="1" outlineLevel="1" x14ac:dyDescent="0.25">
      <c r="A222" s="90" t="s">
        <v>857</v>
      </c>
      <c r="B222" s="67" t="s">
        <v>178</v>
      </c>
      <c r="C222" s="113"/>
      <c r="F222" s="47" t="str">
        <f t="shared" si="11"/>
        <v/>
      </c>
      <c r="G222" s="47">
        <f>0</f>
        <v>0</v>
      </c>
    </row>
    <row r="223" spans="1:7" ht="15" hidden="1" customHeight="1" outlineLevel="1" x14ac:dyDescent="0.25">
      <c r="A223" s="90" t="s">
        <v>858</v>
      </c>
      <c r="B223" s="67" t="s">
        <v>179</v>
      </c>
      <c r="C223" s="113"/>
      <c r="F223" s="47" t="str">
        <f t="shared" si="11"/>
        <v/>
      </c>
      <c r="G223" s="47">
        <f>0</f>
        <v>0</v>
      </c>
    </row>
    <row r="224" spans="1:7" ht="15" hidden="1" customHeight="1" outlineLevel="1" x14ac:dyDescent="0.25">
      <c r="A224" s="90" t="s">
        <v>859</v>
      </c>
      <c r="B224" s="67"/>
      <c r="C224" s="113"/>
      <c r="F224" s="47"/>
      <c r="G224" s="47"/>
    </row>
    <row r="225" spans="1:7" ht="15" hidden="1" customHeight="1" outlineLevel="1" x14ac:dyDescent="0.25">
      <c r="A225" s="90" t="s">
        <v>860</v>
      </c>
      <c r="B225" s="67"/>
      <c r="C225" s="113"/>
      <c r="F225" s="47"/>
      <c r="G225" s="47"/>
    </row>
    <row r="226" spans="1:7" ht="15" hidden="1" customHeight="1" outlineLevel="1" x14ac:dyDescent="0.25">
      <c r="A226" s="90" t="s">
        <v>861</v>
      </c>
      <c r="B226" s="67"/>
      <c r="C226" s="113"/>
      <c r="F226" s="47"/>
      <c r="G226" s="47"/>
    </row>
    <row r="227" spans="1:7" ht="15" customHeight="1" collapsed="1" x14ac:dyDescent="0.25">
      <c r="A227" s="58"/>
      <c r="B227" s="60" t="s">
        <v>976</v>
      </c>
      <c r="C227" s="58" t="s">
        <v>142</v>
      </c>
      <c r="D227" s="58"/>
      <c r="E227" s="46"/>
      <c r="F227" s="58"/>
      <c r="G227" s="58"/>
    </row>
    <row r="228" spans="1:7" ht="15" customHeight="1" x14ac:dyDescent="0.25">
      <c r="A228" s="90" t="s">
        <v>862</v>
      </c>
      <c r="B228" s="90" t="s">
        <v>12</v>
      </c>
      <c r="C228" s="47">
        <v>1</v>
      </c>
      <c r="E228" s="57"/>
      <c r="F228" s="57"/>
      <c r="G228" s="57"/>
    </row>
    <row r="229" spans="1:7" ht="15" customHeight="1" x14ac:dyDescent="0.25">
      <c r="A229" s="90" t="s">
        <v>863</v>
      </c>
      <c r="B229" s="90" t="s">
        <v>138</v>
      </c>
      <c r="C229" s="47">
        <v>0</v>
      </c>
      <c r="E229" s="57"/>
      <c r="F229" s="57"/>
    </row>
    <row r="230" spans="1:7" ht="15" customHeight="1" x14ac:dyDescent="0.25">
      <c r="A230" s="90" t="s">
        <v>864</v>
      </c>
      <c r="B230" s="90" t="s">
        <v>1023</v>
      </c>
      <c r="C230" s="47">
        <v>0</v>
      </c>
      <c r="E230" s="57"/>
      <c r="F230" s="57"/>
    </row>
    <row r="231" spans="1:7" ht="15" customHeight="1" x14ac:dyDescent="0.25">
      <c r="A231" s="90" t="s">
        <v>865</v>
      </c>
      <c r="B231" s="90" t="s">
        <v>2</v>
      </c>
      <c r="C231" s="47">
        <v>0</v>
      </c>
      <c r="E231" s="57"/>
      <c r="F231" s="57"/>
    </row>
    <row r="232" spans="1:7" ht="15" hidden="1" customHeight="1" outlineLevel="1" x14ac:dyDescent="0.25">
      <c r="A232" s="90" t="s">
        <v>866</v>
      </c>
      <c r="B232" s="67" t="s">
        <v>155</v>
      </c>
      <c r="C232" s="47"/>
      <c r="E232" s="57"/>
      <c r="F232" s="57"/>
    </row>
    <row r="233" spans="1:7" ht="15" hidden="1" customHeight="1" outlineLevel="1" x14ac:dyDescent="0.25">
      <c r="A233" s="90" t="s">
        <v>867</v>
      </c>
      <c r="B233" s="67" t="s">
        <v>156</v>
      </c>
      <c r="C233" s="47"/>
      <c r="E233" s="57"/>
      <c r="F233" s="57"/>
    </row>
    <row r="234" spans="1:7" ht="15" hidden="1" customHeight="1" outlineLevel="1" x14ac:dyDescent="0.25">
      <c r="A234" s="90" t="s">
        <v>868</v>
      </c>
      <c r="B234" s="67" t="s">
        <v>204</v>
      </c>
      <c r="C234" s="47"/>
      <c r="E234" s="57"/>
      <c r="F234" s="57"/>
    </row>
    <row r="235" spans="1:7" ht="15" hidden="1" customHeight="1" outlineLevel="1" x14ac:dyDescent="0.25">
      <c r="A235" s="90" t="s">
        <v>869</v>
      </c>
      <c r="B235" s="67" t="s">
        <v>205</v>
      </c>
      <c r="C235" s="47"/>
      <c r="E235" s="57"/>
      <c r="F235" s="57"/>
    </row>
    <row r="236" spans="1:7" ht="15" hidden="1" customHeight="1" outlineLevel="1" x14ac:dyDescent="0.25">
      <c r="A236" s="90" t="s">
        <v>870</v>
      </c>
      <c r="B236" s="67" t="s">
        <v>206</v>
      </c>
      <c r="C236" s="47"/>
      <c r="E236" s="57"/>
      <c r="F236" s="57"/>
    </row>
    <row r="237" spans="1:7" ht="15" hidden="1" customHeight="1" outlineLevel="1" x14ac:dyDescent="0.25">
      <c r="A237" s="90" t="s">
        <v>871</v>
      </c>
      <c r="B237" s="67" t="s">
        <v>153</v>
      </c>
      <c r="C237" s="47"/>
      <c r="E237" s="57"/>
      <c r="F237" s="57"/>
    </row>
    <row r="238" spans="1:7" ht="15" hidden="1" customHeight="1" outlineLevel="1" x14ac:dyDescent="0.25">
      <c r="A238" s="90" t="s">
        <v>872</v>
      </c>
      <c r="B238" s="67" t="s">
        <v>153</v>
      </c>
      <c r="C238" s="47"/>
      <c r="E238" s="57"/>
      <c r="F238" s="57"/>
    </row>
    <row r="239" spans="1:7" ht="15" hidden="1" customHeight="1" outlineLevel="1" x14ac:dyDescent="0.25">
      <c r="A239" s="90" t="s">
        <v>873</v>
      </c>
      <c r="B239" s="67" t="s">
        <v>153</v>
      </c>
      <c r="C239" s="47"/>
      <c r="E239" s="57"/>
      <c r="F239" s="57"/>
    </row>
    <row r="240" spans="1:7" ht="15" hidden="1" customHeight="1" outlineLevel="1" x14ac:dyDescent="0.25">
      <c r="A240" s="90" t="s">
        <v>874</v>
      </c>
      <c r="B240" s="67" t="s">
        <v>153</v>
      </c>
      <c r="C240" s="47"/>
      <c r="E240" s="57"/>
      <c r="F240" s="57"/>
    </row>
    <row r="241" spans="1:9" ht="15" hidden="1" customHeight="1" outlineLevel="1" x14ac:dyDescent="0.25">
      <c r="A241" s="90" t="s">
        <v>875</v>
      </c>
      <c r="B241" s="67" t="s">
        <v>153</v>
      </c>
      <c r="C241" s="47"/>
      <c r="E241" s="57"/>
      <c r="F241" s="57"/>
    </row>
    <row r="242" spans="1:9" ht="15" hidden="1" customHeight="1" outlineLevel="1" x14ac:dyDescent="0.25">
      <c r="A242" s="90" t="s">
        <v>876</v>
      </c>
      <c r="B242" s="67" t="s">
        <v>153</v>
      </c>
      <c r="C242" s="47"/>
      <c r="E242" s="57"/>
      <c r="F242" s="57"/>
    </row>
    <row r="243" spans="1:9" ht="15" customHeight="1" collapsed="1" x14ac:dyDescent="0.25">
      <c r="A243" s="58"/>
      <c r="B243" s="60" t="s">
        <v>977</v>
      </c>
      <c r="C243" s="58" t="s">
        <v>142</v>
      </c>
      <c r="D243" s="58"/>
      <c r="E243" s="46"/>
      <c r="F243" s="58"/>
      <c r="G243" s="59"/>
    </row>
    <row r="244" spans="1:9" ht="15" customHeight="1" x14ac:dyDescent="0.25">
      <c r="A244" s="90" t="s">
        <v>877</v>
      </c>
      <c r="B244" s="90" t="s">
        <v>34</v>
      </c>
      <c r="C244" s="47">
        <v>1</v>
      </c>
      <c r="E244" s="52"/>
      <c r="F244" s="52"/>
    </row>
    <row r="245" spans="1:9" ht="15" customHeight="1" x14ac:dyDescent="0.25">
      <c r="A245" s="90" t="s">
        <v>878</v>
      </c>
      <c r="B245" s="90" t="s">
        <v>35</v>
      </c>
      <c r="C245" s="47">
        <v>0</v>
      </c>
      <c r="E245" s="52"/>
      <c r="F245" s="52"/>
    </row>
    <row r="246" spans="1:9" ht="15" customHeight="1" x14ac:dyDescent="0.25">
      <c r="A246" s="90" t="s">
        <v>879</v>
      </c>
      <c r="B246" s="90" t="s">
        <v>2</v>
      </c>
      <c r="C246" s="47">
        <v>0</v>
      </c>
      <c r="E246" s="52"/>
      <c r="F246" s="52"/>
    </row>
    <row r="247" spans="1:9" ht="15" hidden="1" customHeight="1" outlineLevel="1" x14ac:dyDescent="0.25">
      <c r="A247" s="90" t="s">
        <v>880</v>
      </c>
      <c r="C247" s="47"/>
      <c r="E247" s="52"/>
      <c r="F247" s="52"/>
    </row>
    <row r="248" spans="1:9" ht="15" hidden="1" customHeight="1" outlineLevel="1" x14ac:dyDescent="0.25">
      <c r="A248" s="90" t="s">
        <v>881</v>
      </c>
      <c r="C248" s="47"/>
      <c r="E248" s="52"/>
      <c r="F248" s="52"/>
    </row>
    <row r="249" spans="1:9" ht="15" hidden="1" customHeight="1" outlineLevel="1" x14ac:dyDescent="0.25">
      <c r="A249" s="90" t="s">
        <v>882</v>
      </c>
      <c r="C249" s="47"/>
      <c r="E249" s="52"/>
      <c r="F249" s="52"/>
    </row>
    <row r="250" spans="1:9" ht="15" hidden="1" customHeight="1" outlineLevel="1" x14ac:dyDescent="0.25">
      <c r="A250" s="90" t="s">
        <v>883</v>
      </c>
      <c r="C250" s="47"/>
      <c r="E250" s="52"/>
      <c r="F250" s="52"/>
    </row>
    <row r="251" spans="1:9" ht="15" hidden="1" customHeight="1" outlineLevel="1" x14ac:dyDescent="0.25">
      <c r="A251" s="90" t="s">
        <v>884</v>
      </c>
      <c r="C251" s="47"/>
      <c r="E251" s="52"/>
      <c r="F251" s="52"/>
    </row>
    <row r="252" spans="1:9" ht="15" hidden="1" customHeight="1" outlineLevel="1" x14ac:dyDescent="0.25">
      <c r="A252" s="90" t="s">
        <v>885</v>
      </c>
      <c r="C252" s="47"/>
      <c r="E252" s="52"/>
      <c r="F252" s="52"/>
    </row>
    <row r="253" spans="1:9" ht="18.75" customHeight="1" collapsed="1" x14ac:dyDescent="0.25">
      <c r="A253" s="37"/>
      <c r="B253" s="40" t="s">
        <v>225</v>
      </c>
      <c r="C253" s="110"/>
      <c r="D253" s="37"/>
      <c r="E253" s="37"/>
      <c r="F253" s="38"/>
      <c r="G253" s="38"/>
      <c r="I253" s="133"/>
    </row>
    <row r="254" spans="1:9" ht="15" customHeight="1" x14ac:dyDescent="0.25">
      <c r="A254" s="58"/>
      <c r="B254" s="60" t="s">
        <v>978</v>
      </c>
      <c r="C254" s="58" t="s">
        <v>150</v>
      </c>
      <c r="D254" s="58" t="s">
        <v>56</v>
      </c>
      <c r="E254" s="58"/>
      <c r="F254" s="58" t="s">
        <v>143</v>
      </c>
      <c r="G254" s="58" t="s">
        <v>148</v>
      </c>
    </row>
    <row r="255" spans="1:9" ht="30" customHeight="1" x14ac:dyDescent="0.25">
      <c r="A255" s="90" t="s">
        <v>886</v>
      </c>
      <c r="B255" s="90" t="s">
        <v>87</v>
      </c>
      <c r="C255" s="113">
        <f>C13/D28</f>
        <v>12339580.900064103</v>
      </c>
      <c r="D255" s="135">
        <f>D28</f>
        <v>312</v>
      </c>
      <c r="E255" s="45"/>
      <c r="F255" s="47"/>
      <c r="G255" s="47"/>
    </row>
    <row r="256" spans="1:9" ht="15" customHeight="1" x14ac:dyDescent="0.25">
      <c r="A256" s="45"/>
      <c r="C256" s="113"/>
      <c r="D256" s="45"/>
      <c r="E256" s="45"/>
      <c r="F256" s="47"/>
      <c r="G256" s="47"/>
    </row>
    <row r="257" spans="1:10" ht="15" customHeight="1" x14ac:dyDescent="0.25">
      <c r="B257" s="90" t="s">
        <v>151</v>
      </c>
      <c r="C257" s="113"/>
      <c r="D257" s="45"/>
      <c r="E257" s="45"/>
      <c r="F257" s="47"/>
      <c r="G257" s="47"/>
    </row>
    <row r="258" spans="1:10" ht="15" customHeight="1" x14ac:dyDescent="0.25">
      <c r="A258" s="90" t="s">
        <v>887</v>
      </c>
      <c r="B258" s="86" t="s">
        <v>1041</v>
      </c>
      <c r="C258" s="113">
        <v>425377.16</v>
      </c>
      <c r="D258" s="90">
        <v>10</v>
      </c>
      <c r="E258" s="45"/>
      <c r="F258" s="47">
        <f t="shared" ref="F258:F268" si="12">IF($C$269=0,"",IF(C258="[for completion]","",C258/$C$269))</f>
        <v>1.1048903073574002E-4</v>
      </c>
      <c r="G258" s="47">
        <f t="shared" ref="G258:G268" si="13">IF($D$269=0,"",IF(D258="[for completion]","",D258/$D$269))</f>
        <v>3.2051282051282048E-2</v>
      </c>
      <c r="I258" s="131"/>
      <c r="J258" s="132"/>
    </row>
    <row r="259" spans="1:10" ht="15" customHeight="1" x14ac:dyDescent="0.25">
      <c r="A259" s="90" t="s">
        <v>888</v>
      </c>
      <c r="B259" s="86" t="s">
        <v>1043</v>
      </c>
      <c r="C259" s="113">
        <v>3384335.47</v>
      </c>
      <c r="D259" s="90">
        <v>9</v>
      </c>
      <c r="E259" s="45"/>
      <c r="F259" s="47">
        <f t="shared" si="12"/>
        <v>8.7905976372799422E-4</v>
      </c>
      <c r="G259" s="47">
        <f t="shared" si="13"/>
        <v>2.8846153846153848E-2</v>
      </c>
      <c r="I259" s="131"/>
      <c r="J259" s="132"/>
    </row>
    <row r="260" spans="1:10" ht="15" customHeight="1" x14ac:dyDescent="0.25">
      <c r="A260" s="90" t="s">
        <v>889</v>
      </c>
      <c r="B260" s="86" t="s">
        <v>1042</v>
      </c>
      <c r="C260" s="113">
        <v>17116020.18</v>
      </c>
      <c r="D260" s="90">
        <v>22</v>
      </c>
      <c r="E260" s="45"/>
      <c r="F260" s="47">
        <f t="shared" si="12"/>
        <v>4.4457781413124453E-3</v>
      </c>
      <c r="G260" s="47">
        <f t="shared" si="13"/>
        <v>7.0512820512820512E-2</v>
      </c>
      <c r="I260" s="131"/>
      <c r="J260" s="132"/>
    </row>
    <row r="261" spans="1:10" ht="15" customHeight="1" x14ac:dyDescent="0.25">
      <c r="A261" s="90" t="s">
        <v>890</v>
      </c>
      <c r="B261" s="86" t="s">
        <v>1044</v>
      </c>
      <c r="C261" s="113">
        <v>276594144.38999999</v>
      </c>
      <c r="D261" s="90">
        <v>105</v>
      </c>
      <c r="E261" s="45"/>
      <c r="F261" s="47">
        <f t="shared" si="12"/>
        <v>7.1843582106835321E-2</v>
      </c>
      <c r="G261" s="47">
        <f t="shared" si="13"/>
        <v>0.33653846153846156</v>
      </c>
      <c r="I261" s="131"/>
      <c r="J261" s="132"/>
    </row>
    <row r="262" spans="1:10" ht="15" customHeight="1" x14ac:dyDescent="0.25">
      <c r="A262" s="90" t="s">
        <v>891</v>
      </c>
      <c r="B262" s="86" t="s">
        <v>1045</v>
      </c>
      <c r="C262" s="113">
        <v>383858755.26999998</v>
      </c>
      <c r="D262" s="90">
        <v>53</v>
      </c>
      <c r="E262" s="45"/>
      <c r="F262" s="47">
        <f t="shared" si="12"/>
        <v>9.9704887326837049E-2</v>
      </c>
      <c r="G262" s="47">
        <f t="shared" si="13"/>
        <v>0.16987179487179488</v>
      </c>
      <c r="I262" s="131"/>
      <c r="J262" s="132"/>
    </row>
    <row r="263" spans="1:10" ht="15" customHeight="1" x14ac:dyDescent="0.25">
      <c r="A263" s="90" t="s">
        <v>892</v>
      </c>
      <c r="B263" s="86" t="s">
        <v>1046</v>
      </c>
      <c r="C263" s="113">
        <v>440711452.14999998</v>
      </c>
      <c r="D263" s="90">
        <v>36</v>
      </c>
      <c r="E263" s="45"/>
      <c r="F263" s="47">
        <f t="shared" si="12"/>
        <v>0.11447201627420234</v>
      </c>
      <c r="G263" s="47">
        <f t="shared" si="13"/>
        <v>0.11538461538461539</v>
      </c>
      <c r="I263" s="131"/>
      <c r="J263" s="132"/>
    </row>
    <row r="264" spans="1:10" ht="15" customHeight="1" x14ac:dyDescent="0.25">
      <c r="A264" s="90" t="s">
        <v>893</v>
      </c>
      <c r="B264" s="86" t="s">
        <v>1047</v>
      </c>
      <c r="C264" s="113">
        <v>402757319.60000002</v>
      </c>
      <c r="D264" s="90">
        <v>23</v>
      </c>
      <c r="E264" s="45"/>
      <c r="F264" s="47">
        <f t="shared" si="12"/>
        <v>0.10461367005301524</v>
      </c>
      <c r="G264" s="47">
        <f t="shared" si="13"/>
        <v>7.371794871794872E-2</v>
      </c>
      <c r="I264" s="131"/>
      <c r="J264" s="132"/>
    </row>
    <row r="265" spans="1:10" ht="15" customHeight="1" x14ac:dyDescent="0.25">
      <c r="A265" s="90" t="s">
        <v>894</v>
      </c>
      <c r="B265" s="86" t="s">
        <v>1048</v>
      </c>
      <c r="C265" s="113">
        <v>488428712.44</v>
      </c>
      <c r="D265" s="90">
        <v>20</v>
      </c>
      <c r="E265" s="45"/>
      <c r="F265" s="47">
        <f t="shared" si="12"/>
        <v>0.12686627326441571</v>
      </c>
      <c r="G265" s="47">
        <f t="shared" si="13"/>
        <v>6.4102564102564097E-2</v>
      </c>
      <c r="I265" s="131"/>
      <c r="J265" s="132"/>
    </row>
    <row r="266" spans="1:10" ht="15" customHeight="1" x14ac:dyDescent="0.25">
      <c r="A266" s="90" t="s">
        <v>895</v>
      </c>
      <c r="B266" s="86" t="s">
        <v>1049</v>
      </c>
      <c r="C266" s="113">
        <v>521378094.30000001</v>
      </c>
      <c r="D266" s="90">
        <v>15</v>
      </c>
      <c r="E266" s="45"/>
      <c r="F266" s="47">
        <f t="shared" si="12"/>
        <v>0.13542466710261139</v>
      </c>
      <c r="G266" s="47">
        <f t="shared" si="13"/>
        <v>4.807692307692308E-2</v>
      </c>
      <c r="I266" s="131"/>
      <c r="J266" s="132"/>
    </row>
    <row r="267" spans="1:10" ht="15" customHeight="1" x14ac:dyDescent="0.25">
      <c r="A267" s="90" t="s">
        <v>896</v>
      </c>
      <c r="B267" s="86" t="s">
        <v>1050</v>
      </c>
      <c r="C267" s="113">
        <v>265337536.78999999</v>
      </c>
      <c r="D267" s="90">
        <v>6</v>
      </c>
      <c r="E267" s="86"/>
      <c r="F267" s="47">
        <f t="shared" si="12"/>
        <v>6.8919749376614062E-2</v>
      </c>
      <c r="G267" s="47">
        <f t="shared" si="13"/>
        <v>1.9230769230769232E-2</v>
      </c>
      <c r="I267" s="131"/>
      <c r="J267" s="132"/>
    </row>
    <row r="268" spans="1:10" ht="15" customHeight="1" x14ac:dyDescent="0.25">
      <c r="A268" s="90" t="s">
        <v>897</v>
      </c>
      <c r="B268" s="86" t="s">
        <v>1051</v>
      </c>
      <c r="C268" s="113">
        <v>1049957493.0700001</v>
      </c>
      <c r="D268" s="90">
        <v>13</v>
      </c>
      <c r="E268" s="86"/>
      <c r="F268" s="47">
        <f t="shared" si="12"/>
        <v>0.27271982755969265</v>
      </c>
      <c r="G268" s="47">
        <f t="shared" si="13"/>
        <v>4.1666666666666664E-2</v>
      </c>
      <c r="I268" s="131"/>
      <c r="J268" s="132"/>
    </row>
    <row r="269" spans="1:10" ht="15" customHeight="1" x14ac:dyDescent="0.25">
      <c r="A269" s="90" t="s">
        <v>898</v>
      </c>
      <c r="B269" s="56" t="s">
        <v>1</v>
      </c>
      <c r="C269" s="113">
        <f>SUM(C258:C268)</f>
        <v>3849949240.8200002</v>
      </c>
      <c r="D269" s="86">
        <f>SUM(D258:D268)</f>
        <v>312</v>
      </c>
      <c r="E269" s="57"/>
      <c r="F269" s="47">
        <f>SUM(F258:F268)</f>
        <v>1</v>
      </c>
      <c r="G269" s="47">
        <f>SUM(G258:G268)</f>
        <v>1</v>
      </c>
    </row>
    <row r="270" spans="1:10" ht="15" customHeight="1" x14ac:dyDescent="0.25">
      <c r="A270" s="58"/>
      <c r="B270" s="60" t="s">
        <v>979</v>
      </c>
      <c r="C270" s="58" t="s">
        <v>150</v>
      </c>
      <c r="D270" s="58" t="s">
        <v>56</v>
      </c>
      <c r="E270" s="58"/>
      <c r="F270" s="58" t="s">
        <v>143</v>
      </c>
      <c r="G270" s="58" t="s">
        <v>148</v>
      </c>
    </row>
    <row r="271" spans="1:10" ht="15" customHeight="1" x14ac:dyDescent="0.25">
      <c r="A271" s="90" t="s">
        <v>899</v>
      </c>
      <c r="B271" s="90" t="s">
        <v>135</v>
      </c>
      <c r="C271" s="119">
        <v>66.811309792353569</v>
      </c>
      <c r="F271" s="47"/>
      <c r="G271" s="47"/>
    </row>
    <row r="272" spans="1:10" ht="15" customHeight="1" x14ac:dyDescent="0.25">
      <c r="C272" s="113"/>
      <c r="F272" s="47"/>
      <c r="G272" s="47"/>
    </row>
    <row r="273" spans="1:12" ht="15" customHeight="1" x14ac:dyDescent="0.25">
      <c r="B273" s="86" t="s">
        <v>244</v>
      </c>
      <c r="C273" s="113"/>
      <c r="F273" s="47"/>
      <c r="G273" s="47"/>
    </row>
    <row r="274" spans="1:12" ht="15" customHeight="1" x14ac:dyDescent="0.25">
      <c r="A274" s="90" t="s">
        <v>900</v>
      </c>
      <c r="B274" s="90" t="s">
        <v>166</v>
      </c>
      <c r="C274" s="113">
        <v>216603022.5</v>
      </c>
      <c r="D274" s="90">
        <v>76</v>
      </c>
      <c r="F274" s="47">
        <f t="shared" ref="F274:F281" si="14">IF($C$282=0,"",IF(C274="[for completion]","",C274/$C$282))</f>
        <v>5.6261267084618961E-2</v>
      </c>
      <c r="G274" s="47">
        <f t="shared" ref="G274:G281" si="15">IF($D$282=0,"",IF(D274="[for completion]","",D274/$D$282))</f>
        <v>0.24358974358974358</v>
      </c>
      <c r="J274" s="116"/>
      <c r="L274" s="134"/>
    </row>
    <row r="275" spans="1:12" ht="15" customHeight="1" x14ac:dyDescent="0.25">
      <c r="A275" s="90" t="s">
        <v>901</v>
      </c>
      <c r="B275" s="90" t="s">
        <v>168</v>
      </c>
      <c r="C275" s="113">
        <v>335322824.19999999</v>
      </c>
      <c r="D275" s="90">
        <v>27</v>
      </c>
      <c r="F275" s="47">
        <f t="shared" si="14"/>
        <v>8.7097985772035702E-2</v>
      </c>
      <c r="G275" s="47">
        <f t="shared" si="15"/>
        <v>8.6538461538461536E-2</v>
      </c>
      <c r="J275" s="116"/>
      <c r="L275" s="134"/>
    </row>
    <row r="276" spans="1:12" ht="15" customHeight="1" x14ac:dyDescent="0.25">
      <c r="A276" s="90" t="s">
        <v>902</v>
      </c>
      <c r="B276" s="90" t="s">
        <v>169</v>
      </c>
      <c r="C276" s="113">
        <v>461357178.07999998</v>
      </c>
      <c r="D276" s="90">
        <v>40</v>
      </c>
      <c r="F276" s="47">
        <f t="shared" si="14"/>
        <v>0.11983461319135097</v>
      </c>
      <c r="G276" s="47">
        <f t="shared" si="15"/>
        <v>0.12820512820512819</v>
      </c>
      <c r="J276" s="116"/>
      <c r="L276" s="134"/>
    </row>
    <row r="277" spans="1:12" ht="15" customHeight="1" x14ac:dyDescent="0.25">
      <c r="A277" s="90" t="s">
        <v>903</v>
      </c>
      <c r="B277" s="90" t="s">
        <v>170</v>
      </c>
      <c r="C277" s="113">
        <v>800468571.42999995</v>
      </c>
      <c r="D277" s="90">
        <v>58</v>
      </c>
      <c r="F277" s="47">
        <f t="shared" si="14"/>
        <v>0.20791665587245725</v>
      </c>
      <c r="G277" s="47">
        <f t="shared" si="15"/>
        <v>0.1858974358974359</v>
      </c>
      <c r="J277" s="116"/>
      <c r="L277" s="134"/>
    </row>
    <row r="278" spans="1:12" ht="15" customHeight="1" x14ac:dyDescent="0.25">
      <c r="A278" s="90" t="s">
        <v>904</v>
      </c>
      <c r="B278" s="90" t="s">
        <v>171</v>
      </c>
      <c r="C278" s="113">
        <v>1204051372.77</v>
      </c>
      <c r="D278" s="90">
        <v>68</v>
      </c>
      <c r="F278" s="47">
        <f t="shared" si="14"/>
        <v>0.3127447395939042</v>
      </c>
      <c r="G278" s="47">
        <f t="shared" si="15"/>
        <v>0.21794871794871795</v>
      </c>
      <c r="J278" s="116"/>
      <c r="L278" s="134"/>
    </row>
    <row r="279" spans="1:12" ht="15" customHeight="1" x14ac:dyDescent="0.25">
      <c r="A279" s="90" t="s">
        <v>905</v>
      </c>
      <c r="B279" s="90" t="s">
        <v>172</v>
      </c>
      <c r="C279" s="113">
        <v>826311614.15999997</v>
      </c>
      <c r="D279" s="90">
        <v>42</v>
      </c>
      <c r="F279" s="47">
        <f t="shared" si="14"/>
        <v>0.21462922300347109</v>
      </c>
      <c r="G279" s="47">
        <f t="shared" si="15"/>
        <v>0.13461538461538461</v>
      </c>
      <c r="J279" s="116"/>
      <c r="L279" s="134"/>
    </row>
    <row r="280" spans="1:12" ht="15" customHeight="1" x14ac:dyDescent="0.25">
      <c r="A280" s="90" t="s">
        <v>906</v>
      </c>
      <c r="B280" s="90" t="s">
        <v>173</v>
      </c>
      <c r="C280" s="113">
        <v>5834657.6799999997</v>
      </c>
      <c r="D280" s="90">
        <v>1</v>
      </c>
      <c r="F280" s="47">
        <f t="shared" si="14"/>
        <v>1.5155154821618576E-3</v>
      </c>
      <c r="G280" s="47">
        <f t="shared" si="15"/>
        <v>3.205128205128205E-3</v>
      </c>
      <c r="J280" s="116"/>
      <c r="L280" s="134"/>
    </row>
    <row r="281" spans="1:12" ht="15" customHeight="1" x14ac:dyDescent="0.25">
      <c r="A281" s="90" t="s">
        <v>907</v>
      </c>
      <c r="B281" s="90" t="s">
        <v>167</v>
      </c>
      <c r="C281" s="113">
        <f>SUM(C283:C288)</f>
        <v>0</v>
      </c>
      <c r="D281" s="90">
        <f>SUM(D283:D288)</f>
        <v>0</v>
      </c>
      <c r="F281" s="47">
        <f t="shared" si="14"/>
        <v>0</v>
      </c>
      <c r="G281" s="47">
        <f t="shared" si="15"/>
        <v>0</v>
      </c>
      <c r="J281" s="116"/>
      <c r="L281" s="134"/>
    </row>
    <row r="282" spans="1:12" ht="15" customHeight="1" x14ac:dyDescent="0.25">
      <c r="A282" s="90" t="s">
        <v>908</v>
      </c>
      <c r="B282" s="56" t="s">
        <v>1</v>
      </c>
      <c r="C282" s="113">
        <f>SUM(C274:C281)</f>
        <v>3849949240.8199997</v>
      </c>
      <c r="D282" s="90">
        <f>SUM(D274:D281)</f>
        <v>312</v>
      </c>
      <c r="F282" s="47">
        <f>SUM(F274:F281)</f>
        <v>1</v>
      </c>
      <c r="G282" s="47">
        <f>SUM(G274:G281)</f>
        <v>0.99999999999999989</v>
      </c>
    </row>
    <row r="283" spans="1:12" ht="15" hidden="1" customHeight="1" outlineLevel="1" x14ac:dyDescent="0.25">
      <c r="A283" s="90" t="s">
        <v>909</v>
      </c>
      <c r="B283" s="67" t="s">
        <v>174</v>
      </c>
      <c r="C283" s="113">
        <v>0</v>
      </c>
      <c r="D283" s="90">
        <v>0</v>
      </c>
      <c r="F283" s="47">
        <f t="shared" ref="F283:F288" si="16">IF($C$282=0,"",IF(C283="[for completion]","",C283/$C$282))</f>
        <v>0</v>
      </c>
      <c r="G283" s="47">
        <f t="shared" ref="G283:G288" si="17">IF($D$282=0,"",IF(D283="[for completion]","",D283/$D$282))</f>
        <v>0</v>
      </c>
    </row>
    <row r="284" spans="1:12" ht="15" hidden="1" customHeight="1" outlineLevel="1" x14ac:dyDescent="0.25">
      <c r="A284" s="90" t="s">
        <v>910</v>
      </c>
      <c r="B284" s="67" t="s">
        <v>175</v>
      </c>
      <c r="C284" s="113">
        <v>0</v>
      </c>
      <c r="D284" s="90">
        <v>0</v>
      </c>
      <c r="F284" s="47">
        <f t="shared" si="16"/>
        <v>0</v>
      </c>
      <c r="G284" s="47">
        <f t="shared" si="17"/>
        <v>0</v>
      </c>
    </row>
    <row r="285" spans="1:12" ht="15" hidden="1" customHeight="1" outlineLevel="1" x14ac:dyDescent="0.25">
      <c r="A285" s="90" t="s">
        <v>911</v>
      </c>
      <c r="B285" s="67" t="s">
        <v>176</v>
      </c>
      <c r="C285" s="113">
        <v>0</v>
      </c>
      <c r="D285" s="90">
        <v>0</v>
      </c>
      <c r="F285" s="47">
        <f t="shared" si="16"/>
        <v>0</v>
      </c>
      <c r="G285" s="47">
        <f t="shared" si="17"/>
        <v>0</v>
      </c>
    </row>
    <row r="286" spans="1:12" ht="15" hidden="1" customHeight="1" outlineLevel="1" x14ac:dyDescent="0.25">
      <c r="A286" s="90" t="s">
        <v>912</v>
      </c>
      <c r="B286" s="67" t="s">
        <v>177</v>
      </c>
      <c r="C286" s="113">
        <v>0</v>
      </c>
      <c r="D286" s="90">
        <v>0</v>
      </c>
      <c r="F286" s="47">
        <f t="shared" si="16"/>
        <v>0</v>
      </c>
      <c r="G286" s="47">
        <f t="shared" si="17"/>
        <v>0</v>
      </c>
    </row>
    <row r="287" spans="1:12" ht="15" hidden="1" customHeight="1" outlineLevel="1" x14ac:dyDescent="0.25">
      <c r="A287" s="90" t="s">
        <v>913</v>
      </c>
      <c r="B287" s="67" t="s">
        <v>178</v>
      </c>
      <c r="C287" s="113">
        <v>0</v>
      </c>
      <c r="D287" s="90">
        <v>0</v>
      </c>
      <c r="F287" s="47">
        <f t="shared" si="16"/>
        <v>0</v>
      </c>
      <c r="G287" s="47">
        <f t="shared" si="17"/>
        <v>0</v>
      </c>
    </row>
    <row r="288" spans="1:12" ht="15" hidden="1" customHeight="1" outlineLevel="1" x14ac:dyDescent="0.25">
      <c r="A288" s="90" t="s">
        <v>914</v>
      </c>
      <c r="B288" s="67" t="s">
        <v>179</v>
      </c>
      <c r="C288" s="113">
        <v>0</v>
      </c>
      <c r="D288" s="90">
        <v>0</v>
      </c>
      <c r="F288" s="47">
        <f t="shared" si="16"/>
        <v>0</v>
      </c>
      <c r="G288" s="47">
        <f t="shared" si="17"/>
        <v>0</v>
      </c>
    </row>
    <row r="289" spans="1:7" ht="15" hidden="1" customHeight="1" outlineLevel="1" x14ac:dyDescent="0.25">
      <c r="A289" s="90" t="s">
        <v>915</v>
      </c>
      <c r="B289" s="67"/>
      <c r="C289" s="113"/>
      <c r="F289" s="47"/>
      <c r="G289" s="47"/>
    </row>
    <row r="290" spans="1:7" ht="15" hidden="1" customHeight="1" outlineLevel="1" x14ac:dyDescent="0.25">
      <c r="A290" s="90" t="s">
        <v>916</v>
      </c>
      <c r="B290" s="67"/>
      <c r="C290" s="113"/>
      <c r="F290" s="47"/>
      <c r="G290" s="47"/>
    </row>
    <row r="291" spans="1:7" ht="15" hidden="1" customHeight="1" outlineLevel="1" x14ac:dyDescent="0.25">
      <c r="A291" s="90" t="s">
        <v>917</v>
      </c>
      <c r="B291" s="67"/>
      <c r="C291" s="113"/>
      <c r="F291" s="47"/>
      <c r="G291" s="47"/>
    </row>
    <row r="292" spans="1:7" ht="15" customHeight="1" collapsed="1" x14ac:dyDescent="0.25">
      <c r="A292" s="58"/>
      <c r="B292" s="60" t="s">
        <v>980</v>
      </c>
      <c r="C292" s="58" t="s">
        <v>150</v>
      </c>
      <c r="D292" s="58" t="s">
        <v>56</v>
      </c>
      <c r="E292" s="58"/>
      <c r="F292" s="58" t="s">
        <v>143</v>
      </c>
      <c r="G292" s="58" t="s">
        <v>148</v>
      </c>
    </row>
    <row r="293" spans="1:7" ht="15" customHeight="1" x14ac:dyDescent="0.25">
      <c r="A293" s="90" t="s">
        <v>918</v>
      </c>
      <c r="B293" s="90" t="s">
        <v>135</v>
      </c>
      <c r="C293" s="113" t="s">
        <v>183</v>
      </c>
      <c r="F293" s="47"/>
      <c r="G293" s="47"/>
    </row>
    <row r="294" spans="1:7" ht="15" customHeight="1" x14ac:dyDescent="0.25">
      <c r="C294" s="113"/>
      <c r="F294" s="47"/>
      <c r="G294" s="47"/>
    </row>
    <row r="295" spans="1:7" ht="15" customHeight="1" x14ac:dyDescent="0.25">
      <c r="B295" s="86" t="s">
        <v>244</v>
      </c>
      <c r="C295" s="113"/>
      <c r="F295" s="47"/>
      <c r="G295" s="47"/>
    </row>
    <row r="296" spans="1:7" ht="15" customHeight="1" x14ac:dyDescent="0.25">
      <c r="A296" s="90" t="s">
        <v>919</v>
      </c>
      <c r="B296" s="90" t="s">
        <v>166</v>
      </c>
      <c r="C296" s="113" t="s">
        <v>183</v>
      </c>
      <c r="D296" s="113" t="s">
        <v>183</v>
      </c>
      <c r="F296" s="47" t="str">
        <f t="shared" ref="F296:F303" si="18">IF($C$304=0,"",IF(C296="[Mark as ND1 if not relevant]","",C296/$C$304))</f>
        <v/>
      </c>
      <c r="G296" s="47" t="str">
        <f t="shared" ref="G296:G303" si="19">IF($D$304=0,"",IF(D296="[Mark as ND1 if not relevant]","",D296/$D$304))</f>
        <v/>
      </c>
    </row>
    <row r="297" spans="1:7" ht="15" customHeight="1" x14ac:dyDescent="0.25">
      <c r="A297" s="90" t="s">
        <v>920</v>
      </c>
      <c r="B297" s="90" t="s">
        <v>168</v>
      </c>
      <c r="C297" s="113" t="s">
        <v>183</v>
      </c>
      <c r="D297" s="113" t="s">
        <v>183</v>
      </c>
      <c r="F297" s="47" t="str">
        <f t="shared" si="18"/>
        <v/>
      </c>
      <c r="G297" s="47" t="str">
        <f t="shared" si="19"/>
        <v/>
      </c>
    </row>
    <row r="298" spans="1:7" ht="15" customHeight="1" x14ac:dyDescent="0.25">
      <c r="A298" s="90" t="s">
        <v>921</v>
      </c>
      <c r="B298" s="90" t="s">
        <v>169</v>
      </c>
      <c r="C298" s="113" t="s">
        <v>183</v>
      </c>
      <c r="D298" s="113" t="s">
        <v>183</v>
      </c>
      <c r="F298" s="47" t="str">
        <f t="shared" si="18"/>
        <v/>
      </c>
      <c r="G298" s="47" t="str">
        <f t="shared" si="19"/>
        <v/>
      </c>
    </row>
    <row r="299" spans="1:7" ht="15" customHeight="1" x14ac:dyDescent="0.25">
      <c r="A299" s="90" t="s">
        <v>922</v>
      </c>
      <c r="B299" s="90" t="s">
        <v>170</v>
      </c>
      <c r="C299" s="113" t="s">
        <v>183</v>
      </c>
      <c r="D299" s="113" t="s">
        <v>183</v>
      </c>
      <c r="F299" s="47" t="str">
        <f t="shared" si="18"/>
        <v/>
      </c>
      <c r="G299" s="47" t="str">
        <f t="shared" si="19"/>
        <v/>
      </c>
    </row>
    <row r="300" spans="1:7" ht="15" customHeight="1" x14ac:dyDescent="0.25">
      <c r="A300" s="90" t="s">
        <v>923</v>
      </c>
      <c r="B300" s="90" t="s">
        <v>171</v>
      </c>
      <c r="C300" s="113" t="s">
        <v>183</v>
      </c>
      <c r="D300" s="113" t="s">
        <v>183</v>
      </c>
      <c r="F300" s="47" t="str">
        <f t="shared" si="18"/>
        <v/>
      </c>
      <c r="G300" s="47" t="str">
        <f t="shared" si="19"/>
        <v/>
      </c>
    </row>
    <row r="301" spans="1:7" ht="15" customHeight="1" x14ac:dyDescent="0.25">
      <c r="A301" s="90" t="s">
        <v>924</v>
      </c>
      <c r="B301" s="90" t="s">
        <v>172</v>
      </c>
      <c r="C301" s="113" t="s">
        <v>183</v>
      </c>
      <c r="D301" s="113" t="s">
        <v>183</v>
      </c>
      <c r="F301" s="47" t="str">
        <f t="shared" si="18"/>
        <v/>
      </c>
      <c r="G301" s="47" t="str">
        <f t="shared" si="19"/>
        <v/>
      </c>
    </row>
    <row r="302" spans="1:7" ht="15" customHeight="1" x14ac:dyDescent="0.25">
      <c r="A302" s="90" t="s">
        <v>925</v>
      </c>
      <c r="B302" s="90" t="s">
        <v>173</v>
      </c>
      <c r="C302" s="113" t="s">
        <v>183</v>
      </c>
      <c r="D302" s="113" t="s">
        <v>183</v>
      </c>
      <c r="F302" s="47" t="str">
        <f t="shared" si="18"/>
        <v/>
      </c>
      <c r="G302" s="47" t="str">
        <f t="shared" si="19"/>
        <v/>
      </c>
    </row>
    <row r="303" spans="1:7" ht="15" customHeight="1" x14ac:dyDescent="0.25">
      <c r="A303" s="90" t="s">
        <v>926</v>
      </c>
      <c r="B303" s="90" t="s">
        <v>167</v>
      </c>
      <c r="C303" s="113" t="s">
        <v>183</v>
      </c>
      <c r="D303" s="113" t="s">
        <v>183</v>
      </c>
      <c r="F303" s="47" t="str">
        <f t="shared" si="18"/>
        <v/>
      </c>
      <c r="G303" s="47" t="str">
        <f t="shared" si="19"/>
        <v/>
      </c>
    </row>
    <row r="304" spans="1:7" ht="15" customHeight="1" x14ac:dyDescent="0.25">
      <c r="A304" s="90" t="s">
        <v>927</v>
      </c>
      <c r="B304" s="56" t="s">
        <v>1</v>
      </c>
      <c r="C304" s="113">
        <f>SUM(C296:C303)</f>
        <v>0</v>
      </c>
      <c r="D304" s="90">
        <f>SUM(D296:D303)</f>
        <v>0</v>
      </c>
      <c r="F304" s="47">
        <f>SUM(F296:F303)</f>
        <v>0</v>
      </c>
      <c r="G304" s="47">
        <f>SUM(G296:G303)</f>
        <v>0</v>
      </c>
    </row>
    <row r="305" spans="1:7" ht="15" hidden="1" customHeight="1" outlineLevel="1" x14ac:dyDescent="0.25">
      <c r="A305" s="90" t="s">
        <v>928</v>
      </c>
      <c r="B305" s="67" t="s">
        <v>174</v>
      </c>
      <c r="C305" s="113"/>
      <c r="F305" s="47" t="str">
        <f t="shared" ref="F305:F310" si="20">IF($C$304=0,"",IF(C305="[for completion]","",C305/$C$304))</f>
        <v/>
      </c>
      <c r="G305" s="47">
        <f>0</f>
        <v>0</v>
      </c>
    </row>
    <row r="306" spans="1:7" ht="15" hidden="1" customHeight="1" outlineLevel="1" x14ac:dyDescent="0.25">
      <c r="A306" s="90" t="s">
        <v>929</v>
      </c>
      <c r="B306" s="67" t="s">
        <v>175</v>
      </c>
      <c r="C306" s="113"/>
      <c r="F306" s="47" t="str">
        <f t="shared" si="20"/>
        <v/>
      </c>
      <c r="G306" s="47">
        <f>0</f>
        <v>0</v>
      </c>
    </row>
    <row r="307" spans="1:7" ht="15" hidden="1" customHeight="1" outlineLevel="1" x14ac:dyDescent="0.25">
      <c r="A307" s="90" t="s">
        <v>930</v>
      </c>
      <c r="B307" s="67" t="s">
        <v>176</v>
      </c>
      <c r="C307" s="113"/>
      <c r="F307" s="47" t="str">
        <f t="shared" si="20"/>
        <v/>
      </c>
      <c r="G307" s="47">
        <f>0</f>
        <v>0</v>
      </c>
    </row>
    <row r="308" spans="1:7" ht="15" hidden="1" customHeight="1" outlineLevel="1" x14ac:dyDescent="0.25">
      <c r="A308" s="90" t="s">
        <v>931</v>
      </c>
      <c r="B308" s="67" t="s">
        <v>177</v>
      </c>
      <c r="C308" s="113"/>
      <c r="F308" s="47" t="str">
        <f t="shared" si="20"/>
        <v/>
      </c>
      <c r="G308" s="47">
        <f>0</f>
        <v>0</v>
      </c>
    </row>
    <row r="309" spans="1:7" ht="15" hidden="1" customHeight="1" outlineLevel="1" x14ac:dyDescent="0.25">
      <c r="A309" s="90" t="s">
        <v>932</v>
      </c>
      <c r="B309" s="67" t="s">
        <v>178</v>
      </c>
      <c r="C309" s="113"/>
      <c r="F309" s="47" t="str">
        <f t="shared" si="20"/>
        <v/>
      </c>
      <c r="G309" s="47">
        <f>0</f>
        <v>0</v>
      </c>
    </row>
    <row r="310" spans="1:7" ht="15" hidden="1" customHeight="1" outlineLevel="1" x14ac:dyDescent="0.25">
      <c r="A310" s="90" t="s">
        <v>933</v>
      </c>
      <c r="B310" s="67" t="s">
        <v>179</v>
      </c>
      <c r="C310" s="113"/>
      <c r="F310" s="47" t="str">
        <f t="shared" si="20"/>
        <v/>
      </c>
      <c r="G310" s="47">
        <f>0</f>
        <v>0</v>
      </c>
    </row>
    <row r="311" spans="1:7" ht="15" hidden="1" customHeight="1" outlineLevel="1" x14ac:dyDescent="0.25">
      <c r="A311" s="90" t="s">
        <v>934</v>
      </c>
      <c r="B311" s="67"/>
      <c r="C311" s="113"/>
      <c r="F311" s="47"/>
      <c r="G311" s="47"/>
    </row>
    <row r="312" spans="1:7" ht="15" hidden="1" customHeight="1" outlineLevel="1" x14ac:dyDescent="0.25">
      <c r="A312" s="90" t="s">
        <v>935</v>
      </c>
      <c r="B312" s="67"/>
      <c r="C312" s="113"/>
      <c r="F312" s="47"/>
      <c r="G312" s="47"/>
    </row>
    <row r="313" spans="1:7" ht="15" hidden="1" customHeight="1" outlineLevel="1" x14ac:dyDescent="0.25">
      <c r="A313" s="90" t="s">
        <v>936</v>
      </c>
      <c r="B313" s="67"/>
      <c r="C313" s="113"/>
      <c r="F313" s="47"/>
      <c r="G313" s="47"/>
    </row>
    <row r="314" spans="1:7" ht="15" customHeight="1" collapsed="1" x14ac:dyDescent="0.25">
      <c r="A314" s="58"/>
      <c r="B314" s="60" t="s">
        <v>981</v>
      </c>
      <c r="C314" s="58" t="s">
        <v>136</v>
      </c>
      <c r="D314" s="58"/>
      <c r="E314" s="58"/>
      <c r="F314" s="58"/>
      <c r="G314" s="59"/>
    </row>
    <row r="315" spans="1:7" ht="15" customHeight="1" x14ac:dyDescent="0.25">
      <c r="A315" s="90" t="s">
        <v>937</v>
      </c>
      <c r="B315" s="86" t="s">
        <v>27</v>
      </c>
      <c r="C315" s="47">
        <v>7.6215967464938056E-2</v>
      </c>
      <c r="G315" s="90"/>
    </row>
    <row r="316" spans="1:7" ht="15" customHeight="1" x14ac:dyDescent="0.25">
      <c r="A316" s="90" t="s">
        <v>938</v>
      </c>
      <c r="B316" s="86" t="s">
        <v>28</v>
      </c>
      <c r="C316" s="47">
        <v>0.40169704428898112</v>
      </c>
      <c r="G316" s="90"/>
    </row>
    <row r="317" spans="1:7" ht="15" customHeight="1" x14ac:dyDescent="0.25">
      <c r="A317" s="90" t="s">
        <v>939</v>
      </c>
      <c r="B317" s="86" t="s">
        <v>137</v>
      </c>
      <c r="C317" s="47">
        <v>3.9363082069550179E-2</v>
      </c>
      <c r="G317" s="90"/>
    </row>
    <row r="318" spans="1:7" ht="15" customHeight="1" x14ac:dyDescent="0.25">
      <c r="A318" s="90" t="s">
        <v>940</v>
      </c>
      <c r="B318" s="86" t="s">
        <v>29</v>
      </c>
      <c r="C318" s="47">
        <v>0.36364093023777483</v>
      </c>
      <c r="G318" s="90"/>
    </row>
    <row r="319" spans="1:7" ht="15" customHeight="1" x14ac:dyDescent="0.25">
      <c r="A319" s="90" t="s">
        <v>941</v>
      </c>
      <c r="B319" s="86" t="s">
        <v>74</v>
      </c>
      <c r="C319" s="47">
        <v>0</v>
      </c>
      <c r="G319" s="90"/>
    </row>
    <row r="320" spans="1:7" ht="15" customHeight="1" x14ac:dyDescent="0.25">
      <c r="A320" s="90" t="s">
        <v>942</v>
      </c>
      <c r="B320" s="86" t="s">
        <v>126</v>
      </c>
      <c r="C320" s="47">
        <v>0</v>
      </c>
      <c r="G320" s="90"/>
    </row>
    <row r="321" spans="1:7" ht="15" customHeight="1" x14ac:dyDescent="0.25">
      <c r="A321" s="90" t="s">
        <v>943</v>
      </c>
      <c r="B321" s="86" t="s">
        <v>207</v>
      </c>
      <c r="C321" s="47">
        <v>4.087171293367111E-2</v>
      </c>
      <c r="G321" s="90"/>
    </row>
    <row r="322" spans="1:7" ht="15" customHeight="1" x14ac:dyDescent="0.25">
      <c r="A322" s="90" t="s">
        <v>944</v>
      </c>
      <c r="B322" s="86" t="s">
        <v>30</v>
      </c>
      <c r="C322" s="47">
        <v>0</v>
      </c>
      <c r="G322" s="90"/>
    </row>
    <row r="323" spans="1:7" ht="15" customHeight="1" x14ac:dyDescent="0.25">
      <c r="A323" s="90" t="s">
        <v>945</v>
      </c>
      <c r="B323" s="86" t="s">
        <v>208</v>
      </c>
      <c r="C323" s="47">
        <v>1.5717823897104525E-2</v>
      </c>
      <c r="G323" s="90"/>
    </row>
    <row r="324" spans="1:7" ht="15" customHeight="1" x14ac:dyDescent="0.25">
      <c r="A324" s="90" t="s">
        <v>946</v>
      </c>
      <c r="B324" s="86" t="s">
        <v>2</v>
      </c>
      <c r="C324" s="47">
        <v>6.2493439107980407E-2</v>
      </c>
      <c r="G324" s="90"/>
    </row>
    <row r="325" spans="1:7" ht="15" hidden="1" customHeight="1" outlineLevel="1" x14ac:dyDescent="0.25">
      <c r="A325" s="90" t="s">
        <v>947</v>
      </c>
      <c r="B325" s="136" t="s">
        <v>1123</v>
      </c>
      <c r="C325" s="47">
        <v>5.1339376245361036E-2</v>
      </c>
      <c r="G325" s="90"/>
    </row>
    <row r="326" spans="1:7" ht="15" hidden="1" customHeight="1" outlineLevel="1" x14ac:dyDescent="0.25">
      <c r="A326" s="90" t="s">
        <v>948</v>
      </c>
      <c r="B326" s="67" t="s">
        <v>153</v>
      </c>
      <c r="C326" s="47"/>
      <c r="G326" s="90"/>
    </row>
    <row r="327" spans="1:7" ht="15" hidden="1" customHeight="1" outlineLevel="1" x14ac:dyDescent="0.25">
      <c r="A327" s="90" t="s">
        <v>949</v>
      </c>
      <c r="B327" s="67" t="s">
        <v>153</v>
      </c>
      <c r="C327" s="47"/>
      <c r="G327" s="90"/>
    </row>
    <row r="328" spans="1:7" ht="15" hidden="1" customHeight="1" outlineLevel="1" x14ac:dyDescent="0.25">
      <c r="A328" s="90" t="s">
        <v>950</v>
      </c>
      <c r="B328" s="67" t="s">
        <v>153</v>
      </c>
      <c r="C328" s="47"/>
      <c r="G328" s="90"/>
    </row>
    <row r="329" spans="1:7" ht="15" hidden="1" customHeight="1" outlineLevel="1" x14ac:dyDescent="0.25">
      <c r="A329" s="90" t="s">
        <v>951</v>
      </c>
      <c r="B329" s="67" t="s">
        <v>153</v>
      </c>
      <c r="C329" s="47"/>
      <c r="G329" s="90"/>
    </row>
    <row r="330" spans="1:7" ht="15" hidden="1" customHeight="1" outlineLevel="1" x14ac:dyDescent="0.25">
      <c r="A330" s="90" t="s">
        <v>952</v>
      </c>
      <c r="B330" s="67" t="s">
        <v>153</v>
      </c>
      <c r="C330" s="47"/>
      <c r="G330" s="90"/>
    </row>
    <row r="331" spans="1:7" ht="15" hidden="1" customHeight="1" outlineLevel="1" x14ac:dyDescent="0.25">
      <c r="A331" s="90" t="s">
        <v>953</v>
      </c>
      <c r="B331" s="67" t="s">
        <v>153</v>
      </c>
      <c r="C331" s="47"/>
      <c r="G331" s="90"/>
    </row>
    <row r="332" spans="1:7" ht="15" hidden="1" customHeight="1" outlineLevel="1" x14ac:dyDescent="0.25">
      <c r="A332" s="90" t="s">
        <v>954</v>
      </c>
      <c r="B332" s="67" t="s">
        <v>153</v>
      </c>
      <c r="C332" s="47"/>
      <c r="G332" s="90"/>
    </row>
    <row r="333" spans="1:7" ht="15" hidden="1" customHeight="1" outlineLevel="1" x14ac:dyDescent="0.25">
      <c r="A333" s="90" t="s">
        <v>955</v>
      </c>
      <c r="B333" s="67" t="s">
        <v>153</v>
      </c>
      <c r="C333" s="47"/>
      <c r="G333" s="90"/>
    </row>
    <row r="334" spans="1:7" ht="15" hidden="1" customHeight="1" outlineLevel="1" x14ac:dyDescent="0.25">
      <c r="A334" s="90" t="s">
        <v>956</v>
      </c>
      <c r="B334" s="67" t="s">
        <v>153</v>
      </c>
      <c r="C334" s="47"/>
      <c r="G334" s="90"/>
    </row>
    <row r="335" spans="1:7" ht="15" hidden="1" customHeight="1" outlineLevel="1" x14ac:dyDescent="0.25">
      <c r="A335" s="90" t="s">
        <v>957</v>
      </c>
      <c r="B335" s="67" t="s">
        <v>153</v>
      </c>
      <c r="C335" s="47"/>
      <c r="G335" s="90"/>
    </row>
    <row r="336" spans="1:7" ht="15" hidden="1" customHeight="1" outlineLevel="1" x14ac:dyDescent="0.25">
      <c r="A336" s="90" t="s">
        <v>958</v>
      </c>
      <c r="B336" s="67" t="s">
        <v>153</v>
      </c>
      <c r="C336" s="47"/>
    </row>
    <row r="337" spans="1:3" ht="15" hidden="1" customHeight="1" outlineLevel="1" x14ac:dyDescent="0.25">
      <c r="A337" s="90" t="s">
        <v>959</v>
      </c>
      <c r="B337" s="67" t="s">
        <v>153</v>
      </c>
      <c r="C337" s="47"/>
    </row>
    <row r="338" spans="1:3" ht="15" hidden="1" customHeight="1" outlineLevel="1" x14ac:dyDescent="0.25">
      <c r="A338" s="90" t="s">
        <v>960</v>
      </c>
      <c r="B338" s="67" t="s">
        <v>153</v>
      </c>
      <c r="C338" s="47"/>
    </row>
    <row r="339" spans="1:3" ht="15" hidden="1" customHeight="1" outlineLevel="1" x14ac:dyDescent="0.25">
      <c r="A339" s="90" t="s">
        <v>961</v>
      </c>
      <c r="B339" s="67" t="s">
        <v>153</v>
      </c>
      <c r="C339" s="47"/>
    </row>
    <row r="340" spans="1:3" ht="15" hidden="1" customHeight="1" outlineLevel="1" x14ac:dyDescent="0.25">
      <c r="A340" s="90" t="s">
        <v>962</v>
      </c>
      <c r="B340" s="67" t="s">
        <v>153</v>
      </c>
      <c r="C340" s="47"/>
    </row>
    <row r="341" spans="1:3" ht="15" hidden="1" customHeight="1" outlineLevel="1" x14ac:dyDescent="0.25">
      <c r="A341" s="90" t="s">
        <v>963</v>
      </c>
      <c r="B341" s="67" t="s">
        <v>153</v>
      </c>
      <c r="C341" s="47"/>
    </row>
    <row r="342"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3" location="'2. Harmonised Glossary'!A288" display="Loan to Value (LTV) Information - Un-indexed"/>
    <hyperlink ref="B205" location="'2. Harmonised Glossary'!A11" display="Loan to Value (LTV) Information - Indexed"/>
    <hyperlink ref="B292" location="'2. Harmonised Glossary'!A11" display="Loan to Value (LTV) Information - Indexed"/>
    <hyperlink ref="B270" location="'2. Harmonised Glossary'!A11" display="Loan to Value (LTV) Information - Un-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G13" sqref="G13"/>
    </sheetView>
  </sheetViews>
  <sheetFormatPr defaultColWidth="11.42578125" defaultRowHeight="15" outlineLevelRow="1" x14ac:dyDescent="0.25"/>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x14ac:dyDescent="0.25">
      <c r="A1" s="19" t="s">
        <v>253</v>
      </c>
      <c r="B1" s="19"/>
      <c r="C1" s="2"/>
    </row>
    <row r="2" spans="1:13" x14ac:dyDescent="0.25">
      <c r="B2" s="2"/>
      <c r="C2" s="2"/>
    </row>
    <row r="3" spans="1:13" x14ac:dyDescent="0.25">
      <c r="A3" s="78" t="s">
        <v>63</v>
      </c>
      <c r="B3" s="41"/>
      <c r="C3" s="2"/>
    </row>
    <row r="4" spans="1:13" x14ac:dyDescent="0.25">
      <c r="C4" s="2"/>
    </row>
    <row r="5" spans="1:13" ht="37.5" x14ac:dyDescent="0.25">
      <c r="A5" s="18" t="s">
        <v>221</v>
      </c>
      <c r="B5" s="18" t="s">
        <v>1012</v>
      </c>
      <c r="C5" s="17" t="s">
        <v>61</v>
      </c>
    </row>
    <row r="6" spans="1:13" x14ac:dyDescent="0.25">
      <c r="A6" s="72" t="s">
        <v>983</v>
      </c>
      <c r="B6" s="11" t="s">
        <v>238</v>
      </c>
      <c r="C6" s="4" t="s">
        <v>53</v>
      </c>
    </row>
    <row r="7" spans="1:13" s="84" customFormat="1" x14ac:dyDescent="0.25">
      <c r="A7" s="89" t="s">
        <v>984</v>
      </c>
      <c r="B7" s="45" t="s">
        <v>239</v>
      </c>
      <c r="C7" s="90" t="s">
        <v>53</v>
      </c>
      <c r="D7" s="87"/>
      <c r="E7" s="87"/>
      <c r="F7" s="87"/>
      <c r="G7" s="87"/>
      <c r="H7" s="87"/>
      <c r="I7" s="87"/>
      <c r="J7" s="87"/>
      <c r="K7" s="87"/>
      <c r="L7" s="87"/>
      <c r="M7" s="87"/>
    </row>
    <row r="8" spans="1:13" s="84" customFormat="1" x14ac:dyDescent="0.25">
      <c r="A8" s="89" t="s">
        <v>985</v>
      </c>
      <c r="B8" s="45" t="s">
        <v>240</v>
      </c>
      <c r="C8" s="90" t="s">
        <v>53</v>
      </c>
      <c r="D8" s="87"/>
      <c r="E8" s="87"/>
      <c r="F8" s="87"/>
      <c r="G8" s="87"/>
      <c r="H8" s="87"/>
      <c r="I8" s="87"/>
      <c r="J8" s="87"/>
      <c r="K8" s="87"/>
      <c r="L8" s="87"/>
      <c r="M8" s="87"/>
    </row>
    <row r="9" spans="1:13" x14ac:dyDescent="0.25">
      <c r="A9" s="89" t="s">
        <v>986</v>
      </c>
      <c r="B9" s="11" t="s">
        <v>62</v>
      </c>
      <c r="C9" s="4" t="s">
        <v>53</v>
      </c>
    </row>
    <row r="10" spans="1:13" ht="44.25" customHeight="1" x14ac:dyDescent="0.25">
      <c r="A10" s="89" t="s">
        <v>987</v>
      </c>
      <c r="B10" s="45" t="s">
        <v>249</v>
      </c>
      <c r="C10" s="90" t="s">
        <v>53</v>
      </c>
    </row>
    <row r="11" spans="1:13" s="84" customFormat="1" ht="54.75" customHeight="1" x14ac:dyDescent="0.25">
      <c r="A11" s="89" t="s">
        <v>988</v>
      </c>
      <c r="B11" s="45" t="s">
        <v>250</v>
      </c>
      <c r="C11" s="90" t="s">
        <v>53</v>
      </c>
      <c r="D11" s="87"/>
      <c r="E11" s="87"/>
      <c r="F11" s="87"/>
      <c r="G11" s="87"/>
      <c r="H11" s="87"/>
      <c r="I11" s="87"/>
      <c r="J11" s="87"/>
      <c r="K11" s="87"/>
      <c r="L11" s="87"/>
      <c r="M11" s="87"/>
    </row>
    <row r="12" spans="1:13" x14ac:dyDescent="0.25">
      <c r="A12" s="89" t="s">
        <v>989</v>
      </c>
      <c r="B12" s="11" t="s">
        <v>242</v>
      </c>
      <c r="C12" s="4" t="s">
        <v>53</v>
      </c>
    </row>
    <row r="13" spans="1:13" s="84" customFormat="1" x14ac:dyDescent="0.25">
      <c r="A13" s="89" t="s">
        <v>990</v>
      </c>
      <c r="B13" s="45" t="s">
        <v>259</v>
      </c>
      <c r="C13" s="90"/>
      <c r="D13" s="87"/>
      <c r="E13" s="87"/>
      <c r="F13" s="87"/>
      <c r="G13" s="87"/>
      <c r="H13" s="87"/>
      <c r="I13" s="87"/>
      <c r="J13" s="87"/>
      <c r="K13" s="87"/>
      <c r="L13" s="87"/>
      <c r="M13" s="87"/>
    </row>
    <row r="14" spans="1:13" s="84" customFormat="1" ht="30" x14ac:dyDescent="0.25">
      <c r="A14" s="89" t="s">
        <v>991</v>
      </c>
      <c r="B14" s="45" t="s">
        <v>260</v>
      </c>
      <c r="C14" s="90"/>
      <c r="D14" s="87"/>
      <c r="E14" s="87"/>
      <c r="F14" s="87"/>
      <c r="G14" s="87"/>
      <c r="H14" s="87"/>
      <c r="I14" s="87"/>
      <c r="J14" s="87"/>
      <c r="K14" s="87"/>
      <c r="L14" s="87"/>
      <c r="M14" s="87"/>
    </row>
    <row r="15" spans="1:13" s="84" customFormat="1" x14ac:dyDescent="0.25">
      <c r="A15" s="89" t="s">
        <v>992</v>
      </c>
      <c r="B15" s="45" t="s">
        <v>241</v>
      </c>
      <c r="C15" s="90"/>
      <c r="D15" s="87"/>
      <c r="E15" s="87"/>
      <c r="F15" s="87"/>
      <c r="G15" s="87"/>
      <c r="H15" s="87"/>
      <c r="I15" s="87"/>
      <c r="J15" s="87"/>
      <c r="K15" s="87"/>
      <c r="L15" s="87"/>
      <c r="M15" s="87"/>
    </row>
    <row r="16" spans="1:13" ht="30" x14ac:dyDescent="0.25">
      <c r="A16" s="89" t="s">
        <v>993</v>
      </c>
      <c r="B16" s="12" t="s">
        <v>261</v>
      </c>
      <c r="C16" s="4" t="s">
        <v>53</v>
      </c>
    </row>
    <row r="17" spans="1:13" ht="30" customHeight="1" x14ac:dyDescent="0.25">
      <c r="A17" s="89" t="s">
        <v>994</v>
      </c>
      <c r="B17" s="12" t="s">
        <v>152</v>
      </c>
      <c r="C17" s="4" t="s">
        <v>53</v>
      </c>
    </row>
    <row r="18" spans="1:13" x14ac:dyDescent="0.25">
      <c r="A18" s="89" t="s">
        <v>995</v>
      </c>
      <c r="B18" s="12" t="s">
        <v>149</v>
      </c>
      <c r="C18" s="53" t="s">
        <v>53</v>
      </c>
    </row>
    <row r="19" spans="1:13" s="50" customFormat="1" outlineLevel="1" x14ac:dyDescent="0.25">
      <c r="A19" s="89" t="s">
        <v>996</v>
      </c>
      <c r="B19" s="12" t="s">
        <v>1015</v>
      </c>
      <c r="C19" s="53"/>
      <c r="D19" s="13"/>
      <c r="E19" s="13"/>
      <c r="F19" s="13"/>
      <c r="G19" s="13"/>
      <c r="H19" s="13"/>
      <c r="I19" s="13"/>
      <c r="J19" s="13"/>
      <c r="K19" s="13"/>
      <c r="L19" s="13"/>
      <c r="M19" s="13"/>
    </row>
    <row r="20" spans="1:13" s="84" customFormat="1" outlineLevel="1" x14ac:dyDescent="0.25">
      <c r="A20" s="89" t="s">
        <v>997</v>
      </c>
      <c r="B20" s="88"/>
      <c r="C20" s="85"/>
      <c r="D20" s="87"/>
      <c r="E20" s="87"/>
      <c r="F20" s="87"/>
      <c r="G20" s="87"/>
      <c r="H20" s="87"/>
      <c r="I20" s="87"/>
      <c r="J20" s="87"/>
      <c r="K20" s="87"/>
      <c r="L20" s="87"/>
      <c r="M20" s="87"/>
    </row>
    <row r="21" spans="1:13" s="84" customFormat="1" outlineLevel="1" x14ac:dyDescent="0.25">
      <c r="A21" s="89" t="s">
        <v>998</v>
      </c>
      <c r="B21" s="88"/>
      <c r="C21" s="85"/>
      <c r="D21" s="87"/>
      <c r="E21" s="87"/>
      <c r="F21" s="87"/>
      <c r="G21" s="87"/>
      <c r="H21" s="87"/>
      <c r="I21" s="87"/>
      <c r="J21" s="87"/>
      <c r="K21" s="87"/>
      <c r="L21" s="87"/>
      <c r="M21" s="87"/>
    </row>
    <row r="22" spans="1:13" s="84" customFormat="1" outlineLevel="1" x14ac:dyDescent="0.25">
      <c r="A22" s="89" t="s">
        <v>999</v>
      </c>
      <c r="B22" s="88"/>
      <c r="C22" s="85"/>
      <c r="D22" s="87"/>
      <c r="E22" s="87"/>
      <c r="F22" s="87"/>
      <c r="G22" s="87"/>
      <c r="H22" s="87"/>
      <c r="I22" s="87"/>
      <c r="J22" s="87"/>
      <c r="K22" s="87"/>
      <c r="L22" s="87"/>
      <c r="M22" s="87"/>
    </row>
    <row r="23" spans="1:13" s="84" customFormat="1" outlineLevel="1" x14ac:dyDescent="0.25">
      <c r="A23" s="89" t="s">
        <v>1000</v>
      </c>
      <c r="B23" s="88"/>
      <c r="C23" s="85"/>
      <c r="D23" s="87"/>
      <c r="E23" s="87"/>
      <c r="F23" s="87"/>
      <c r="G23" s="87"/>
      <c r="H23" s="87"/>
      <c r="I23" s="87"/>
      <c r="J23" s="87"/>
      <c r="K23" s="87"/>
      <c r="L23" s="87"/>
      <c r="M23" s="87"/>
    </row>
    <row r="24" spans="1:13" s="50" customFormat="1" ht="18.75" x14ac:dyDescent="0.25">
      <c r="A24" s="18"/>
      <c r="B24" s="18" t="s">
        <v>1013</v>
      </c>
      <c r="C24" s="17" t="s">
        <v>160</v>
      </c>
      <c r="D24" s="13"/>
      <c r="E24" s="13"/>
      <c r="F24" s="13"/>
      <c r="G24" s="13"/>
      <c r="H24" s="13"/>
      <c r="I24" s="13"/>
      <c r="J24" s="13"/>
      <c r="K24" s="13"/>
      <c r="L24" s="13"/>
      <c r="M24" s="13"/>
    </row>
    <row r="25" spans="1:13" s="50" customFormat="1" x14ac:dyDescent="0.25">
      <c r="A25" s="89" t="s">
        <v>1001</v>
      </c>
      <c r="B25" s="12" t="s">
        <v>161</v>
      </c>
      <c r="C25" s="53" t="s">
        <v>183</v>
      </c>
      <c r="D25" s="13"/>
      <c r="E25" s="13"/>
      <c r="F25" s="13"/>
      <c r="G25" s="13"/>
      <c r="H25" s="13"/>
      <c r="I25" s="13"/>
      <c r="J25" s="13"/>
      <c r="K25" s="13"/>
      <c r="L25" s="13"/>
      <c r="M25" s="13"/>
    </row>
    <row r="26" spans="1:13" s="50" customFormat="1" x14ac:dyDescent="0.25">
      <c r="A26" s="89" t="s">
        <v>1002</v>
      </c>
      <c r="B26" s="12" t="s">
        <v>162</v>
      </c>
      <c r="C26" s="53" t="s">
        <v>184</v>
      </c>
      <c r="D26" s="13"/>
      <c r="E26" s="13"/>
      <c r="F26" s="13"/>
      <c r="G26" s="13"/>
      <c r="H26" s="13"/>
      <c r="I26" s="13"/>
      <c r="J26" s="13"/>
      <c r="K26" s="13"/>
      <c r="L26" s="13"/>
      <c r="M26" s="13"/>
    </row>
    <row r="27" spans="1:13" s="50" customFormat="1" x14ac:dyDescent="0.25">
      <c r="A27" s="89" t="s">
        <v>1003</v>
      </c>
      <c r="B27" s="12" t="s">
        <v>163</v>
      </c>
      <c r="C27" s="53" t="s">
        <v>185</v>
      </c>
      <c r="D27" s="13"/>
      <c r="E27" s="13"/>
      <c r="F27" s="13"/>
      <c r="G27" s="13"/>
      <c r="H27" s="13"/>
      <c r="I27" s="13"/>
      <c r="J27" s="13"/>
      <c r="K27" s="13"/>
      <c r="L27" s="13"/>
      <c r="M27" s="13"/>
    </row>
    <row r="28" spans="1:13" s="50" customFormat="1" outlineLevel="1" x14ac:dyDescent="0.25">
      <c r="A28" s="89" t="s">
        <v>1001</v>
      </c>
      <c r="B28" s="54"/>
      <c r="C28" s="53"/>
      <c r="D28" s="13"/>
      <c r="E28" s="13"/>
      <c r="F28" s="13"/>
      <c r="G28" s="13"/>
      <c r="H28" s="13"/>
      <c r="I28" s="13"/>
      <c r="J28" s="13"/>
      <c r="K28" s="13"/>
      <c r="L28" s="13"/>
      <c r="M28" s="13"/>
    </row>
    <row r="29" spans="1:13" s="50" customFormat="1" outlineLevel="1" x14ac:dyDescent="0.25">
      <c r="A29" s="89" t="s">
        <v>1004</v>
      </c>
      <c r="B29" s="54"/>
      <c r="C29" s="53"/>
      <c r="D29" s="13"/>
      <c r="E29" s="13"/>
      <c r="F29" s="13"/>
      <c r="G29" s="13"/>
      <c r="H29" s="13"/>
      <c r="I29" s="13"/>
      <c r="J29" s="13"/>
      <c r="K29" s="13"/>
      <c r="L29" s="13"/>
      <c r="M29" s="13"/>
    </row>
    <row r="30" spans="1:13" s="50" customFormat="1" outlineLevel="1" x14ac:dyDescent="0.25">
      <c r="A30" s="89" t="s">
        <v>1005</v>
      </c>
      <c r="B30" s="12"/>
      <c r="C30" s="53"/>
      <c r="D30" s="13"/>
      <c r="E30" s="13"/>
      <c r="F30" s="13"/>
      <c r="G30" s="13"/>
      <c r="H30" s="13"/>
      <c r="I30" s="13"/>
      <c r="J30" s="13"/>
      <c r="K30" s="13"/>
      <c r="L30" s="13"/>
      <c r="M30" s="13"/>
    </row>
    <row r="31" spans="1:13" ht="18.75" x14ac:dyDescent="0.25">
      <c r="A31" s="18"/>
      <c r="B31" s="18" t="s">
        <v>1014</v>
      </c>
      <c r="C31" s="17" t="s">
        <v>61</v>
      </c>
    </row>
    <row r="32" spans="1:13" x14ac:dyDescent="0.25">
      <c r="A32" s="89" t="s">
        <v>1006</v>
      </c>
      <c r="B32" s="11" t="s">
        <v>64</v>
      </c>
      <c r="C32" s="4" t="s">
        <v>53</v>
      </c>
    </row>
    <row r="33" spans="1:2" x14ac:dyDescent="0.25">
      <c r="A33" s="89" t="s">
        <v>1007</v>
      </c>
      <c r="B33" s="6"/>
    </row>
    <row r="34" spans="1:2" x14ac:dyDescent="0.25">
      <c r="A34" s="89" t="s">
        <v>1008</v>
      </c>
      <c r="B34" s="6"/>
    </row>
    <row r="35" spans="1:2" x14ac:dyDescent="0.25">
      <c r="A35" s="89" t="s">
        <v>1009</v>
      </c>
      <c r="B35" s="6"/>
    </row>
    <row r="36" spans="1:2" x14ac:dyDescent="0.25">
      <c r="A36" s="89" t="s">
        <v>1010</v>
      </c>
      <c r="B36" s="6"/>
    </row>
    <row r="37" spans="1:2" x14ac:dyDescent="0.25">
      <c r="A37" s="89" t="s">
        <v>1011</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67" zoomScale="70" zoomScaleNormal="70" zoomScaleSheetLayoutView="90" workbookViewId="0">
      <selection activeCell="A178" sqref="A178"/>
    </sheetView>
  </sheetViews>
  <sheetFormatPr defaultRowHeight="15" x14ac:dyDescent="0.25"/>
  <cols>
    <col min="1" max="1" width="242" style="87" customWidth="1" collapsed="1"/>
    <col min="2" max="16384" width="9.140625" style="87" collapsed="1"/>
  </cols>
  <sheetData>
    <row r="1" spans="1:1" ht="31.5" x14ac:dyDescent="0.25">
      <c r="A1" s="19" t="s">
        <v>267</v>
      </c>
    </row>
    <row r="3" spans="1:1" x14ac:dyDescent="0.25">
      <c r="A3" s="98"/>
    </row>
    <row r="4" spans="1:1" ht="34.5" x14ac:dyDescent="0.25">
      <c r="A4" s="99" t="s">
        <v>268</v>
      </c>
    </row>
    <row r="5" spans="1:1" ht="34.5" x14ac:dyDescent="0.25">
      <c r="A5" s="99" t="s">
        <v>269</v>
      </c>
    </row>
    <row r="6" spans="1:1" ht="51.75" x14ac:dyDescent="0.25">
      <c r="A6" s="99" t="s">
        <v>270</v>
      </c>
    </row>
    <row r="7" spans="1:1" ht="17.25" x14ac:dyDescent="0.25">
      <c r="A7" s="99"/>
    </row>
    <row r="8" spans="1:1" ht="18.75" x14ac:dyDescent="0.25">
      <c r="A8" s="100" t="s">
        <v>271</v>
      </c>
    </row>
    <row r="9" spans="1:1" ht="34.5" x14ac:dyDescent="0.3">
      <c r="A9" s="101" t="s">
        <v>272</v>
      </c>
    </row>
    <row r="10" spans="1:1" ht="86.25" x14ac:dyDescent="0.25">
      <c r="A10" s="102" t="s">
        <v>273</v>
      </c>
    </row>
    <row r="11" spans="1:1" ht="34.5" x14ac:dyDescent="0.25">
      <c r="A11" s="102" t="s">
        <v>274</v>
      </c>
    </row>
    <row r="12" spans="1:1" ht="17.25" x14ac:dyDescent="0.25">
      <c r="A12" s="102" t="s">
        <v>275</v>
      </c>
    </row>
    <row r="13" spans="1:1" ht="17.25" x14ac:dyDescent="0.25">
      <c r="A13" s="102" t="s">
        <v>276</v>
      </c>
    </row>
    <row r="14" spans="1:1" ht="34.5" x14ac:dyDescent="0.25">
      <c r="A14" s="102" t="s">
        <v>277</v>
      </c>
    </row>
    <row r="15" spans="1:1" ht="17.25" x14ac:dyDescent="0.25">
      <c r="A15" s="102"/>
    </row>
    <row r="16" spans="1:1" ht="18.75" x14ac:dyDescent="0.25">
      <c r="A16" s="100" t="s">
        <v>278</v>
      </c>
    </row>
    <row r="17" spans="1:1" ht="17.25" x14ac:dyDescent="0.25">
      <c r="A17" s="103" t="s">
        <v>279</v>
      </c>
    </row>
    <row r="18" spans="1:1" ht="34.5" x14ac:dyDescent="0.25">
      <c r="A18" s="104" t="s">
        <v>280</v>
      </c>
    </row>
    <row r="19" spans="1:1" ht="34.5" x14ac:dyDescent="0.25">
      <c r="A19" s="104" t="s">
        <v>281</v>
      </c>
    </row>
    <row r="20" spans="1:1" ht="51.75" x14ac:dyDescent="0.25">
      <c r="A20" s="104" t="s">
        <v>282</v>
      </c>
    </row>
    <row r="21" spans="1:1" ht="86.25" x14ac:dyDescent="0.25">
      <c r="A21" s="104" t="s">
        <v>283</v>
      </c>
    </row>
    <row r="22" spans="1:1" ht="51.75" x14ac:dyDescent="0.25">
      <c r="A22" s="104" t="s">
        <v>284</v>
      </c>
    </row>
    <row r="23" spans="1:1" ht="34.5" x14ac:dyDescent="0.25">
      <c r="A23" s="104" t="s">
        <v>285</v>
      </c>
    </row>
    <row r="24" spans="1:1" ht="17.25" x14ac:dyDescent="0.25">
      <c r="A24" s="104" t="s">
        <v>286</v>
      </c>
    </row>
    <row r="25" spans="1:1" ht="17.25" x14ac:dyDescent="0.25">
      <c r="A25" s="103" t="s">
        <v>287</v>
      </c>
    </row>
    <row r="26" spans="1:1" ht="51.75" x14ac:dyDescent="0.3">
      <c r="A26" s="105" t="s">
        <v>288</v>
      </c>
    </row>
    <row r="27" spans="1:1" ht="17.25" x14ac:dyDescent="0.3">
      <c r="A27" s="105" t="s">
        <v>289</v>
      </c>
    </row>
    <row r="28" spans="1:1" ht="17.25" x14ac:dyDescent="0.25">
      <c r="A28" s="103" t="s">
        <v>290</v>
      </c>
    </row>
    <row r="29" spans="1:1" ht="34.5" x14ac:dyDescent="0.25">
      <c r="A29" s="104" t="s">
        <v>291</v>
      </c>
    </row>
    <row r="30" spans="1:1" ht="34.5" x14ac:dyDescent="0.25">
      <c r="A30" s="104" t="s">
        <v>292</v>
      </c>
    </row>
    <row r="31" spans="1:1" ht="34.5" x14ac:dyDescent="0.25">
      <c r="A31" s="104" t="s">
        <v>293</v>
      </c>
    </row>
    <row r="32" spans="1:1" ht="34.5" x14ac:dyDescent="0.25">
      <c r="A32" s="104" t="s">
        <v>294</v>
      </c>
    </row>
    <row r="33" spans="1:1" ht="17.25" x14ac:dyDescent="0.25">
      <c r="A33" s="104"/>
    </row>
    <row r="34" spans="1:1" ht="18.75" x14ac:dyDescent="0.25">
      <c r="A34" s="100" t="s">
        <v>295</v>
      </c>
    </row>
    <row r="35" spans="1:1" ht="17.25" x14ac:dyDescent="0.25">
      <c r="A35" s="103" t="s">
        <v>296</v>
      </c>
    </row>
    <row r="36" spans="1:1" ht="34.5" x14ac:dyDescent="0.25">
      <c r="A36" s="104" t="s">
        <v>297</v>
      </c>
    </row>
    <row r="37" spans="1:1" ht="34.5" x14ac:dyDescent="0.25">
      <c r="A37" s="104" t="s">
        <v>298</v>
      </c>
    </row>
    <row r="38" spans="1:1" ht="34.5" x14ac:dyDescent="0.25">
      <c r="A38" s="104" t="s">
        <v>299</v>
      </c>
    </row>
    <row r="39" spans="1:1" ht="17.25" x14ac:dyDescent="0.25">
      <c r="A39" s="104" t="s">
        <v>300</v>
      </c>
    </row>
    <row r="40" spans="1:1" ht="34.5" x14ac:dyDescent="0.25">
      <c r="A40" s="104" t="s">
        <v>301</v>
      </c>
    </row>
    <row r="41" spans="1:1" ht="17.25" x14ac:dyDescent="0.25">
      <c r="A41" s="103" t="s">
        <v>302</v>
      </c>
    </row>
    <row r="42" spans="1:1" ht="17.25" x14ac:dyDescent="0.25">
      <c r="A42" s="104" t="s">
        <v>303</v>
      </c>
    </row>
    <row r="43" spans="1:1" ht="17.25" x14ac:dyDescent="0.3">
      <c r="A43" s="105" t="s">
        <v>304</v>
      </c>
    </row>
    <row r="44" spans="1:1" ht="17.25" x14ac:dyDescent="0.25">
      <c r="A44" s="103" t="s">
        <v>305</v>
      </c>
    </row>
    <row r="45" spans="1:1" ht="34.5" x14ac:dyDescent="0.3">
      <c r="A45" s="105" t="s">
        <v>306</v>
      </c>
    </row>
    <row r="46" spans="1:1" ht="34.5" x14ac:dyDescent="0.25">
      <c r="A46" s="104" t="s">
        <v>307</v>
      </c>
    </row>
    <row r="47" spans="1:1" ht="51.75" x14ac:dyDescent="0.25">
      <c r="A47" s="104" t="s">
        <v>308</v>
      </c>
    </row>
    <row r="48" spans="1:1" ht="17.25" x14ac:dyDescent="0.25">
      <c r="A48" s="104" t="s">
        <v>309</v>
      </c>
    </row>
    <row r="49" spans="1:1" ht="17.25" x14ac:dyDescent="0.3">
      <c r="A49" s="105" t="s">
        <v>310</v>
      </c>
    </row>
    <row r="50" spans="1:1" ht="17.25" x14ac:dyDescent="0.25">
      <c r="A50" s="103" t="s">
        <v>311</v>
      </c>
    </row>
    <row r="51" spans="1:1" ht="34.5" x14ac:dyDescent="0.3">
      <c r="A51" s="105" t="s">
        <v>312</v>
      </c>
    </row>
    <row r="52" spans="1:1" ht="17.25" x14ac:dyDescent="0.25">
      <c r="A52" s="104" t="s">
        <v>313</v>
      </c>
    </row>
    <row r="53" spans="1:1" ht="34.5" x14ac:dyDescent="0.3">
      <c r="A53" s="105" t="s">
        <v>314</v>
      </c>
    </row>
    <row r="54" spans="1:1" ht="17.25" x14ac:dyDescent="0.25">
      <c r="A54" s="103" t="s">
        <v>315</v>
      </c>
    </row>
    <row r="55" spans="1:1" ht="17.25" x14ac:dyDescent="0.3">
      <c r="A55" s="105" t="s">
        <v>316</v>
      </c>
    </row>
    <row r="56" spans="1:1" ht="34.5" x14ac:dyDescent="0.25">
      <c r="A56" s="104" t="s">
        <v>317</v>
      </c>
    </row>
    <row r="57" spans="1:1" ht="17.25" x14ac:dyDescent="0.25">
      <c r="A57" s="104" t="s">
        <v>318</v>
      </c>
    </row>
    <row r="58" spans="1:1" ht="34.5" x14ac:dyDescent="0.25">
      <c r="A58" s="104" t="s">
        <v>319</v>
      </c>
    </row>
    <row r="59" spans="1:1" ht="17.25" x14ac:dyDescent="0.25">
      <c r="A59" s="103" t="s">
        <v>320</v>
      </c>
    </row>
    <row r="60" spans="1:1" ht="34.5" x14ac:dyDescent="0.25">
      <c r="A60" s="104" t="s">
        <v>321</v>
      </c>
    </row>
    <row r="61" spans="1:1" ht="17.25" x14ac:dyDescent="0.25">
      <c r="A61" s="106"/>
    </row>
    <row r="62" spans="1:1" ht="18.75" x14ac:dyDescent="0.25">
      <c r="A62" s="100" t="s">
        <v>322</v>
      </c>
    </row>
    <row r="63" spans="1:1" ht="17.25" x14ac:dyDescent="0.25">
      <c r="A63" s="103" t="s">
        <v>323</v>
      </c>
    </row>
    <row r="64" spans="1:1" ht="34.5" x14ac:dyDescent="0.25">
      <c r="A64" s="104" t="s">
        <v>324</v>
      </c>
    </row>
    <row r="65" spans="1:1" ht="17.25" x14ac:dyDescent="0.25">
      <c r="A65" s="104" t="s">
        <v>325</v>
      </c>
    </row>
    <row r="66" spans="1:1" ht="34.5" x14ac:dyDescent="0.25">
      <c r="A66" s="102" t="s">
        <v>326</v>
      </c>
    </row>
    <row r="67" spans="1:1" ht="34.5" x14ac:dyDescent="0.25">
      <c r="A67" s="102" t="s">
        <v>327</v>
      </c>
    </row>
    <row r="68" spans="1:1" ht="34.5" x14ac:dyDescent="0.25">
      <c r="A68" s="102" t="s">
        <v>328</v>
      </c>
    </row>
    <row r="69" spans="1:1" ht="17.25" x14ac:dyDescent="0.25">
      <c r="A69" s="107" t="s">
        <v>329</v>
      </c>
    </row>
    <row r="70" spans="1:1" ht="51.75" x14ac:dyDescent="0.25">
      <c r="A70" s="102" t="s">
        <v>330</v>
      </c>
    </row>
    <row r="71" spans="1:1" ht="17.25" x14ac:dyDescent="0.25">
      <c r="A71" s="102" t="s">
        <v>331</v>
      </c>
    </row>
    <row r="72" spans="1:1" ht="17.25" x14ac:dyDescent="0.25">
      <c r="A72" s="107" t="s">
        <v>332</v>
      </c>
    </row>
    <row r="73" spans="1:1" ht="17.25" x14ac:dyDescent="0.25">
      <c r="A73" s="102" t="s">
        <v>333</v>
      </c>
    </row>
    <row r="74" spans="1:1" ht="17.25" x14ac:dyDescent="0.25">
      <c r="A74" s="107" t="s">
        <v>334</v>
      </c>
    </row>
    <row r="75" spans="1:1" ht="34.5" x14ac:dyDescent="0.25">
      <c r="A75" s="102" t="s">
        <v>335</v>
      </c>
    </row>
    <row r="76" spans="1:1" ht="17.25" x14ac:dyDescent="0.25">
      <c r="A76" s="102" t="s">
        <v>336</v>
      </c>
    </row>
    <row r="77" spans="1:1" ht="51.75" x14ac:dyDescent="0.25">
      <c r="A77" s="102" t="s">
        <v>337</v>
      </c>
    </row>
    <row r="78" spans="1:1" ht="17.25" x14ac:dyDescent="0.25">
      <c r="A78" s="107" t="s">
        <v>338</v>
      </c>
    </row>
    <row r="79" spans="1:1" ht="17.25" x14ac:dyDescent="0.3">
      <c r="A79" s="101" t="s">
        <v>339</v>
      </c>
    </row>
    <row r="80" spans="1:1" ht="17.25" x14ac:dyDescent="0.25">
      <c r="A80" s="107" t="s">
        <v>340</v>
      </c>
    </row>
    <row r="81" spans="1:1" ht="34.5" x14ac:dyDescent="0.25">
      <c r="A81" s="102" t="s">
        <v>341</v>
      </c>
    </row>
    <row r="82" spans="1:1" ht="34.5" x14ac:dyDescent="0.25">
      <c r="A82" s="102" t="s">
        <v>342</v>
      </c>
    </row>
    <row r="83" spans="1:1" ht="34.5" x14ac:dyDescent="0.25">
      <c r="A83" s="102" t="s">
        <v>343</v>
      </c>
    </row>
    <row r="84" spans="1:1" ht="34.5" x14ac:dyDescent="0.25">
      <c r="A84" s="102" t="s">
        <v>344</v>
      </c>
    </row>
    <row r="85" spans="1:1" ht="34.5" x14ac:dyDescent="0.25">
      <c r="A85" s="102" t="s">
        <v>345</v>
      </c>
    </row>
    <row r="86" spans="1:1" ht="17.25" x14ac:dyDescent="0.25">
      <c r="A86" s="107" t="s">
        <v>346</v>
      </c>
    </row>
    <row r="87" spans="1:1" ht="17.25" x14ac:dyDescent="0.25">
      <c r="A87" s="102" t="s">
        <v>347</v>
      </c>
    </row>
    <row r="88" spans="1:1" ht="34.5" x14ac:dyDescent="0.25">
      <c r="A88" s="102" t="s">
        <v>348</v>
      </c>
    </row>
    <row r="89" spans="1:1" ht="17.25" x14ac:dyDescent="0.25">
      <c r="A89" s="107" t="s">
        <v>349</v>
      </c>
    </row>
    <row r="90" spans="1:1" ht="34.5" x14ac:dyDescent="0.25">
      <c r="A90" s="102" t="s">
        <v>350</v>
      </c>
    </row>
    <row r="91" spans="1:1" ht="17.25" x14ac:dyDescent="0.25">
      <c r="A91" s="107" t="s">
        <v>351</v>
      </c>
    </row>
    <row r="92" spans="1:1" ht="17.25" x14ac:dyDescent="0.3">
      <c r="A92" s="101" t="s">
        <v>352</v>
      </c>
    </row>
    <row r="93" spans="1:1" ht="17.25" x14ac:dyDescent="0.25">
      <c r="A93" s="102" t="s">
        <v>353</v>
      </c>
    </row>
    <row r="94" spans="1:1" ht="17.25" x14ac:dyDescent="0.25">
      <c r="A94" s="102"/>
    </row>
    <row r="95" spans="1:1" ht="18.75" x14ac:dyDescent="0.25">
      <c r="A95" s="100" t="s">
        <v>354</v>
      </c>
    </row>
    <row r="96" spans="1:1" ht="34.5" x14ac:dyDescent="0.3">
      <c r="A96" s="101" t="s">
        <v>355</v>
      </c>
    </row>
    <row r="97" spans="1:1" ht="17.25" x14ac:dyDescent="0.3">
      <c r="A97" s="101" t="s">
        <v>356</v>
      </c>
    </row>
    <row r="98" spans="1:1" ht="17.25" x14ac:dyDescent="0.25">
      <c r="A98" s="107" t="s">
        <v>357</v>
      </c>
    </row>
    <row r="99" spans="1:1" ht="17.25" x14ac:dyDescent="0.25">
      <c r="A99" s="99" t="s">
        <v>358</v>
      </c>
    </row>
    <row r="100" spans="1:1" ht="17.25" x14ac:dyDescent="0.25">
      <c r="A100" s="102" t="s">
        <v>359</v>
      </c>
    </row>
    <row r="101" spans="1:1" ht="17.25" x14ac:dyDescent="0.25">
      <c r="A101" s="102" t="s">
        <v>360</v>
      </c>
    </row>
    <row r="102" spans="1:1" ht="17.25" x14ac:dyDescent="0.25">
      <c r="A102" s="102" t="s">
        <v>361</v>
      </c>
    </row>
    <row r="103" spans="1:1" ht="17.25" x14ac:dyDescent="0.25">
      <c r="A103" s="102" t="s">
        <v>362</v>
      </c>
    </row>
    <row r="104" spans="1:1" ht="34.5" x14ac:dyDescent="0.25">
      <c r="A104" s="102" t="s">
        <v>363</v>
      </c>
    </row>
    <row r="105" spans="1:1" ht="17.25" x14ac:dyDescent="0.25">
      <c r="A105" s="99" t="s">
        <v>364</v>
      </c>
    </row>
    <row r="106" spans="1:1" ht="17.25" x14ac:dyDescent="0.25">
      <c r="A106" s="102" t="s">
        <v>365</v>
      </c>
    </row>
    <row r="107" spans="1:1" ht="17.25" x14ac:dyDescent="0.25">
      <c r="A107" s="102" t="s">
        <v>366</v>
      </c>
    </row>
    <row r="108" spans="1:1" ht="17.25" x14ac:dyDescent="0.25">
      <c r="A108" s="102" t="s">
        <v>367</v>
      </c>
    </row>
    <row r="109" spans="1:1" ht="17.25" x14ac:dyDescent="0.25">
      <c r="A109" s="102" t="s">
        <v>368</v>
      </c>
    </row>
    <row r="110" spans="1:1" ht="17.25" x14ac:dyDescent="0.25">
      <c r="A110" s="102" t="s">
        <v>369</v>
      </c>
    </row>
    <row r="111" spans="1:1" ht="17.25" x14ac:dyDescent="0.25">
      <c r="A111" s="102" t="s">
        <v>370</v>
      </c>
    </row>
    <row r="112" spans="1:1" ht="17.25" x14ac:dyDescent="0.25">
      <c r="A112" s="107" t="s">
        <v>371</v>
      </c>
    </row>
    <row r="113" spans="1:1" ht="17.25" x14ac:dyDescent="0.25">
      <c r="A113" s="102" t="s">
        <v>372</v>
      </c>
    </row>
    <row r="114" spans="1:1" ht="17.25" x14ac:dyDescent="0.25">
      <c r="A114" s="99" t="s">
        <v>373</v>
      </c>
    </row>
    <row r="115" spans="1:1" ht="17.25" x14ac:dyDescent="0.25">
      <c r="A115" s="102" t="s">
        <v>374</v>
      </c>
    </row>
    <row r="116" spans="1:1" ht="17.25" x14ac:dyDescent="0.25">
      <c r="A116" s="102" t="s">
        <v>375</v>
      </c>
    </row>
    <row r="117" spans="1:1" ht="17.25" x14ac:dyDescent="0.25">
      <c r="A117" s="99" t="s">
        <v>376</v>
      </c>
    </row>
    <row r="118" spans="1:1" ht="17.25" x14ac:dyDescent="0.25">
      <c r="A118" s="102" t="s">
        <v>377</v>
      </c>
    </row>
    <row r="119" spans="1:1" ht="17.25" x14ac:dyDescent="0.25">
      <c r="A119" s="102" t="s">
        <v>378</v>
      </c>
    </row>
    <row r="120" spans="1:1" ht="17.25" x14ac:dyDescent="0.25">
      <c r="A120" s="102" t="s">
        <v>379</v>
      </c>
    </row>
    <row r="121" spans="1:1" ht="17.25" x14ac:dyDescent="0.25">
      <c r="A121" s="107" t="s">
        <v>380</v>
      </c>
    </row>
    <row r="122" spans="1:1" ht="17.25" x14ac:dyDescent="0.25">
      <c r="A122" s="99" t="s">
        <v>381</v>
      </c>
    </row>
    <row r="123" spans="1:1" ht="17.25" x14ac:dyDescent="0.25">
      <c r="A123" s="99" t="s">
        <v>382</v>
      </c>
    </row>
    <row r="124" spans="1:1" ht="17.25" x14ac:dyDescent="0.25">
      <c r="A124" s="102" t="s">
        <v>383</v>
      </c>
    </row>
    <row r="125" spans="1:1" ht="17.25" x14ac:dyDescent="0.25">
      <c r="A125" s="102" t="s">
        <v>384</v>
      </c>
    </row>
    <row r="126" spans="1:1" ht="17.25" x14ac:dyDescent="0.25">
      <c r="A126" s="102" t="s">
        <v>385</v>
      </c>
    </row>
    <row r="127" spans="1:1" ht="17.25" x14ac:dyDescent="0.25">
      <c r="A127" s="102" t="s">
        <v>386</v>
      </c>
    </row>
    <row r="128" spans="1:1" ht="17.25" x14ac:dyDescent="0.25">
      <c r="A128" s="102" t="s">
        <v>387</v>
      </c>
    </row>
    <row r="129" spans="1:1" ht="17.25" x14ac:dyDescent="0.25">
      <c r="A129" s="107" t="s">
        <v>388</v>
      </c>
    </row>
    <row r="130" spans="1:1" ht="34.5" x14ac:dyDescent="0.25">
      <c r="A130" s="102" t="s">
        <v>389</v>
      </c>
    </row>
    <row r="131" spans="1:1" ht="69" x14ac:dyDescent="0.25">
      <c r="A131" s="102" t="s">
        <v>390</v>
      </c>
    </row>
    <row r="132" spans="1:1" ht="34.5" x14ac:dyDescent="0.25">
      <c r="A132" s="102" t="s">
        <v>391</v>
      </c>
    </row>
    <row r="133" spans="1:1" ht="17.25" x14ac:dyDescent="0.25">
      <c r="A133" s="107" t="s">
        <v>392</v>
      </c>
    </row>
    <row r="134" spans="1:1" ht="34.5" x14ac:dyDescent="0.25">
      <c r="A134" s="99" t="s">
        <v>393</v>
      </c>
    </row>
    <row r="135" spans="1:1" ht="17.25" x14ac:dyDescent="0.25">
      <c r="A135" s="99"/>
    </row>
    <row r="136" spans="1:1" ht="18.75" x14ac:dyDescent="0.25">
      <c r="A136" s="100" t="s">
        <v>394</v>
      </c>
    </row>
    <row r="137" spans="1:1" ht="17.25" x14ac:dyDescent="0.25">
      <c r="A137" s="102" t="s">
        <v>395</v>
      </c>
    </row>
    <row r="138" spans="1:1" ht="34.5" x14ac:dyDescent="0.25">
      <c r="A138" s="104" t="s">
        <v>396</v>
      </c>
    </row>
    <row r="139" spans="1:1" ht="34.5" x14ac:dyDescent="0.25">
      <c r="A139" s="104" t="s">
        <v>397</v>
      </c>
    </row>
    <row r="140" spans="1:1" ht="17.25" x14ac:dyDescent="0.25">
      <c r="A140" s="103" t="s">
        <v>398</v>
      </c>
    </row>
    <row r="141" spans="1:1" ht="17.25" x14ac:dyDescent="0.25">
      <c r="A141" s="108" t="s">
        <v>399</v>
      </c>
    </row>
    <row r="142" spans="1:1" ht="34.5" x14ac:dyDescent="0.3">
      <c r="A142" s="105" t="s">
        <v>400</v>
      </c>
    </row>
    <row r="143" spans="1:1" ht="17.25" x14ac:dyDescent="0.25">
      <c r="A143" s="104" t="s">
        <v>401</v>
      </c>
    </row>
    <row r="144" spans="1:1" ht="17.25" x14ac:dyDescent="0.25">
      <c r="A144" s="104" t="s">
        <v>402</v>
      </c>
    </row>
    <row r="145" spans="1:1" ht="17.25" x14ac:dyDescent="0.25">
      <c r="A145" s="108" t="s">
        <v>403</v>
      </c>
    </row>
    <row r="146" spans="1:1" ht="17.25" x14ac:dyDescent="0.25">
      <c r="A146" s="103" t="s">
        <v>404</v>
      </c>
    </row>
    <row r="147" spans="1:1" ht="17.25" x14ac:dyDescent="0.25">
      <c r="A147" s="108" t="s">
        <v>405</v>
      </c>
    </row>
    <row r="148" spans="1:1" ht="17.25" x14ac:dyDescent="0.25">
      <c r="A148" s="104" t="s">
        <v>406</v>
      </c>
    </row>
    <row r="149" spans="1:1" ht="17.25" x14ac:dyDescent="0.25">
      <c r="A149" s="104" t="s">
        <v>407</v>
      </c>
    </row>
    <row r="150" spans="1:1" ht="17.25" x14ac:dyDescent="0.25">
      <c r="A150" s="104" t="s">
        <v>408</v>
      </c>
    </row>
    <row r="151" spans="1:1" ht="34.5" x14ac:dyDescent="0.25">
      <c r="A151" s="108" t="s">
        <v>409</v>
      </c>
    </row>
    <row r="152" spans="1:1" ht="17.25" x14ac:dyDescent="0.25">
      <c r="A152" s="103" t="s">
        <v>410</v>
      </c>
    </row>
    <row r="153" spans="1:1" ht="17.25" x14ac:dyDescent="0.25">
      <c r="A153" s="104" t="s">
        <v>411</v>
      </c>
    </row>
    <row r="154" spans="1:1" ht="17.25" x14ac:dyDescent="0.25">
      <c r="A154" s="104" t="s">
        <v>412</v>
      </c>
    </row>
    <row r="155" spans="1:1" ht="17.25" x14ac:dyDescent="0.25">
      <c r="A155" s="104" t="s">
        <v>413</v>
      </c>
    </row>
    <row r="156" spans="1:1" ht="17.25" x14ac:dyDescent="0.25">
      <c r="A156" s="104" t="s">
        <v>414</v>
      </c>
    </row>
    <row r="157" spans="1:1" ht="34.5" x14ac:dyDescent="0.25">
      <c r="A157" s="104" t="s">
        <v>415</v>
      </c>
    </row>
    <row r="158" spans="1:1" ht="34.5" x14ac:dyDescent="0.25">
      <c r="A158" s="104" t="s">
        <v>416</v>
      </c>
    </row>
    <row r="159" spans="1:1" ht="17.25" x14ac:dyDescent="0.25">
      <c r="A159" s="103" t="s">
        <v>417</v>
      </c>
    </row>
    <row r="160" spans="1:1" ht="34.5" x14ac:dyDescent="0.25">
      <c r="A160" s="104" t="s">
        <v>418</v>
      </c>
    </row>
    <row r="161" spans="1:1" ht="34.5" x14ac:dyDescent="0.25">
      <c r="A161" s="104" t="s">
        <v>419</v>
      </c>
    </row>
    <row r="162" spans="1:1" ht="17.25" x14ac:dyDescent="0.25">
      <c r="A162" s="104" t="s">
        <v>420</v>
      </c>
    </row>
    <row r="163" spans="1:1" ht="17.25" x14ac:dyDescent="0.25">
      <c r="A163" s="103" t="s">
        <v>421</v>
      </c>
    </row>
    <row r="164" spans="1:1" ht="34.5" x14ac:dyDescent="0.3">
      <c r="A164" s="105" t="s">
        <v>422</v>
      </c>
    </row>
    <row r="165" spans="1:1" ht="34.5" x14ac:dyDescent="0.25">
      <c r="A165" s="104" t="s">
        <v>423</v>
      </c>
    </row>
    <row r="166" spans="1:1" ht="17.25" x14ac:dyDescent="0.25">
      <c r="A166" s="103" t="s">
        <v>424</v>
      </c>
    </row>
    <row r="167" spans="1:1" ht="17.25" x14ac:dyDescent="0.25">
      <c r="A167" s="104" t="s">
        <v>425</v>
      </c>
    </row>
    <row r="168" spans="1:1" ht="17.25" x14ac:dyDescent="0.25">
      <c r="A168" s="103" t="s">
        <v>426</v>
      </c>
    </row>
    <row r="169" spans="1:1" ht="17.25" x14ac:dyDescent="0.3">
      <c r="A169" s="105" t="s">
        <v>427</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2" zoomScale="90" zoomScaleNormal="90" workbookViewId="0">
      <selection activeCell="F25" sqref="F24:F25"/>
    </sheetView>
  </sheetViews>
  <sheetFormatPr defaultColWidth="8.85546875" defaultRowHeight="15" outlineLevelRow="1" x14ac:dyDescent="0.25"/>
  <cols>
    <col min="1" max="1" width="13.28515625" style="90" customWidth="1"/>
    <col min="2" max="2" width="60.5703125" style="90" bestFit="1" customWidth="1"/>
    <col min="3" max="7" width="24.28515625" style="90" customWidth="1"/>
    <col min="8" max="8" width="7.28515625" style="90" customWidth="1"/>
    <col min="9" max="9" width="92" style="90" customWidth="1"/>
    <col min="10" max="11" width="47.7109375" style="90" customWidth="1"/>
    <col min="12" max="12" width="7.28515625" style="90" customWidth="1"/>
    <col min="13" max="13" width="25.7109375" style="90" customWidth="1"/>
    <col min="14" max="14" width="25.7109375" style="52" customWidth="1"/>
    <col min="15" max="16384" width="8.85546875" style="51"/>
  </cols>
  <sheetData>
    <row r="1" spans="1:13" ht="23.25" customHeight="1" x14ac:dyDescent="0.25">
      <c r="A1" s="146" t="s">
        <v>1124</v>
      </c>
      <c r="B1" s="146"/>
    </row>
    <row r="2" spans="1:13" ht="31.5" x14ac:dyDescent="0.25">
      <c r="A2" s="19" t="s">
        <v>1125</v>
      </c>
      <c r="B2" s="19"/>
      <c r="C2" s="52"/>
      <c r="D2" s="52"/>
      <c r="E2" s="52"/>
      <c r="F2" s="42"/>
      <c r="G2" s="42"/>
      <c r="H2" s="52"/>
      <c r="I2" s="19"/>
      <c r="J2" s="52"/>
      <c r="K2" s="52"/>
      <c r="L2" s="52"/>
      <c r="M2" s="52"/>
    </row>
    <row r="3" spans="1:13" ht="15.75" thickBot="1" x14ac:dyDescent="0.3">
      <c r="A3" s="52"/>
      <c r="B3" s="92"/>
      <c r="C3" s="92"/>
      <c r="D3" s="52"/>
      <c r="E3" s="52"/>
      <c r="F3" s="52"/>
      <c r="G3" s="52"/>
      <c r="H3" s="52"/>
      <c r="L3" s="52"/>
      <c r="M3" s="52"/>
    </row>
    <row r="4" spans="1:13" ht="19.5" thickBot="1" x14ac:dyDescent="0.3">
      <c r="A4" s="44"/>
      <c r="B4" s="43" t="s">
        <v>127</v>
      </c>
      <c r="C4" s="93" t="s">
        <v>1052</v>
      </c>
      <c r="D4" s="44"/>
      <c r="E4" s="44"/>
      <c r="F4" s="52"/>
      <c r="G4" s="52"/>
      <c r="H4" s="52"/>
      <c r="I4" s="18" t="s">
        <v>1126</v>
      </c>
      <c r="J4" s="17" t="s">
        <v>160</v>
      </c>
      <c r="L4" s="52"/>
      <c r="M4" s="52"/>
    </row>
    <row r="5" spans="1:13" ht="15.75" thickBot="1" x14ac:dyDescent="0.3">
      <c r="H5" s="52"/>
      <c r="I5" s="137" t="s">
        <v>161</v>
      </c>
      <c r="J5" s="90" t="s">
        <v>183</v>
      </c>
      <c r="L5" s="52"/>
      <c r="M5" s="52"/>
    </row>
    <row r="6" spans="1:13" ht="18.75" x14ac:dyDescent="0.25">
      <c r="A6" s="61"/>
      <c r="B6" s="79" t="s">
        <v>1127</v>
      </c>
      <c r="C6" s="61"/>
      <c r="E6" s="3"/>
      <c r="F6" s="3"/>
      <c r="G6" s="3"/>
      <c r="H6" s="52"/>
      <c r="I6" s="137" t="s">
        <v>162</v>
      </c>
      <c r="J6" s="90" t="s">
        <v>184</v>
      </c>
      <c r="L6" s="52"/>
      <c r="M6" s="52"/>
    </row>
    <row r="7" spans="1:13" x14ac:dyDescent="0.25">
      <c r="B7" s="76" t="s">
        <v>1128</v>
      </c>
      <c r="H7" s="52"/>
      <c r="I7" s="137" t="s">
        <v>163</v>
      </c>
      <c r="J7" s="90" t="s">
        <v>185</v>
      </c>
      <c r="L7" s="52"/>
      <c r="M7" s="52"/>
    </row>
    <row r="8" spans="1:13" x14ac:dyDescent="0.25">
      <c r="B8" s="76" t="s">
        <v>1129</v>
      </c>
      <c r="H8" s="52"/>
      <c r="I8" s="137" t="s">
        <v>1130</v>
      </c>
      <c r="J8" s="90" t="s">
        <v>1131</v>
      </c>
      <c r="L8" s="52"/>
      <c r="M8" s="52"/>
    </row>
    <row r="9" spans="1:13" ht="15.75" thickBot="1" x14ac:dyDescent="0.3">
      <c r="B9" s="77" t="s">
        <v>1132</v>
      </c>
      <c r="H9" s="52"/>
      <c r="L9" s="52"/>
      <c r="M9" s="52"/>
    </row>
    <row r="10" spans="1:13" x14ac:dyDescent="0.25">
      <c r="B10" s="66"/>
      <c r="H10" s="52"/>
      <c r="I10" s="138" t="s">
        <v>1133</v>
      </c>
      <c r="L10" s="52"/>
      <c r="M10" s="52"/>
    </row>
    <row r="11" spans="1:13" x14ac:dyDescent="0.25">
      <c r="B11" s="66"/>
      <c r="H11" s="52"/>
      <c r="I11" s="138" t="s">
        <v>1134</v>
      </c>
      <c r="L11" s="52"/>
      <c r="M11" s="52"/>
    </row>
    <row r="12" spans="1:13" ht="37.5" x14ac:dyDescent="0.25">
      <c r="A12" s="18" t="s">
        <v>221</v>
      </c>
      <c r="B12" s="18" t="s">
        <v>1135</v>
      </c>
      <c r="C12" s="15"/>
      <c r="D12" s="15"/>
      <c r="E12" s="15"/>
      <c r="F12" s="15"/>
      <c r="G12" s="15"/>
      <c r="H12" s="52"/>
      <c r="L12" s="52"/>
      <c r="M12" s="52"/>
    </row>
    <row r="13" spans="1:13" ht="15" customHeight="1" x14ac:dyDescent="0.25">
      <c r="A13" s="58"/>
      <c r="B13" s="60" t="s">
        <v>1136</v>
      </c>
      <c r="C13" s="58" t="s">
        <v>1137</v>
      </c>
      <c r="D13" s="58" t="s">
        <v>1138</v>
      </c>
      <c r="E13" s="46"/>
      <c r="F13" s="59"/>
      <c r="G13" s="59"/>
      <c r="H13" s="52"/>
      <c r="L13" s="52"/>
      <c r="M13" s="52"/>
    </row>
    <row r="14" spans="1:13" x14ac:dyDescent="0.25">
      <c r="A14" s="90" t="s">
        <v>1139</v>
      </c>
      <c r="B14" s="86" t="s">
        <v>1140</v>
      </c>
      <c r="C14" s="90" t="s">
        <v>184</v>
      </c>
      <c r="D14" s="90" t="s">
        <v>184</v>
      </c>
      <c r="E14" s="3"/>
      <c r="F14" s="3"/>
      <c r="G14" s="3"/>
      <c r="H14" s="52"/>
      <c r="L14" s="52"/>
      <c r="M14" s="52"/>
    </row>
    <row r="15" spans="1:13" x14ac:dyDescent="0.25">
      <c r="A15" s="90" t="s">
        <v>1141</v>
      </c>
      <c r="B15" s="86" t="s">
        <v>193</v>
      </c>
      <c r="C15" s="90" t="s">
        <v>184</v>
      </c>
      <c r="D15" s="90" t="s">
        <v>184</v>
      </c>
      <c r="E15" s="3"/>
      <c r="F15" s="3"/>
      <c r="G15" s="3"/>
      <c r="H15" s="52"/>
      <c r="L15" s="52"/>
      <c r="M15" s="52"/>
    </row>
    <row r="16" spans="1:13" x14ac:dyDescent="0.25">
      <c r="A16" s="90" t="s">
        <v>1142</v>
      </c>
      <c r="B16" s="86" t="s">
        <v>1143</v>
      </c>
      <c r="C16" s="90" t="s">
        <v>184</v>
      </c>
      <c r="D16" s="90" t="s">
        <v>184</v>
      </c>
      <c r="E16" s="3"/>
      <c r="F16" s="3"/>
      <c r="G16" s="3"/>
      <c r="H16" s="52"/>
      <c r="L16" s="52"/>
      <c r="M16" s="52"/>
    </row>
    <row r="17" spans="1:13" x14ac:dyDescent="0.25">
      <c r="A17" s="90" t="s">
        <v>1144</v>
      </c>
      <c r="B17" s="86" t="s">
        <v>1145</v>
      </c>
      <c r="C17" s="90" t="s">
        <v>184</v>
      </c>
      <c r="D17" s="90" t="s">
        <v>184</v>
      </c>
      <c r="E17" s="3"/>
      <c r="F17" s="3"/>
      <c r="G17" s="3"/>
      <c r="H17" s="52"/>
      <c r="L17" s="52"/>
      <c r="M17" s="52"/>
    </row>
    <row r="18" spans="1:13" x14ac:dyDescent="0.25">
      <c r="A18" s="90" t="s">
        <v>1146</v>
      </c>
      <c r="B18" s="86" t="s">
        <v>1147</v>
      </c>
      <c r="C18" s="90" t="s">
        <v>184</v>
      </c>
      <c r="D18" s="90" t="s">
        <v>184</v>
      </c>
      <c r="E18" s="3"/>
      <c r="F18" s="3"/>
      <c r="G18" s="3"/>
      <c r="H18" s="52"/>
      <c r="L18" s="52"/>
      <c r="M18" s="52"/>
    </row>
    <row r="19" spans="1:13" x14ac:dyDescent="0.25">
      <c r="A19" s="90" t="s">
        <v>1148</v>
      </c>
      <c r="B19" s="86" t="s">
        <v>1149</v>
      </c>
      <c r="C19" s="90" t="s">
        <v>184</v>
      </c>
      <c r="D19" s="90" t="s">
        <v>184</v>
      </c>
      <c r="E19" s="3"/>
      <c r="F19" s="3"/>
      <c r="G19" s="3"/>
      <c r="H19" s="52"/>
      <c r="L19" s="52"/>
      <c r="M19" s="52"/>
    </row>
    <row r="20" spans="1:13" x14ac:dyDescent="0.25">
      <c r="A20" s="90" t="s">
        <v>1150</v>
      </c>
      <c r="B20" s="86" t="s">
        <v>1151</v>
      </c>
      <c r="C20" s="90" t="s">
        <v>184</v>
      </c>
      <c r="D20" s="90" t="s">
        <v>184</v>
      </c>
      <c r="E20" s="3"/>
      <c r="F20" s="3"/>
      <c r="G20" s="3"/>
      <c r="H20" s="52"/>
      <c r="L20" s="52"/>
      <c r="M20" s="52"/>
    </row>
    <row r="21" spans="1:13" x14ac:dyDescent="0.25">
      <c r="A21" s="90" t="s">
        <v>1152</v>
      </c>
      <c r="B21" s="86" t="s">
        <v>1153</v>
      </c>
      <c r="C21" s="90" t="s">
        <v>184</v>
      </c>
      <c r="D21" s="90" t="s">
        <v>184</v>
      </c>
      <c r="E21" s="3"/>
      <c r="F21" s="3"/>
      <c r="G21" s="3"/>
      <c r="H21" s="52"/>
      <c r="L21" s="52"/>
      <c r="M21" s="52"/>
    </row>
    <row r="22" spans="1:13" x14ac:dyDescent="0.25">
      <c r="A22" s="90" t="s">
        <v>1154</v>
      </c>
      <c r="B22" s="86" t="s">
        <v>1155</v>
      </c>
      <c r="C22" s="90" t="s">
        <v>184</v>
      </c>
      <c r="D22" s="90" t="s">
        <v>184</v>
      </c>
      <c r="E22" s="3"/>
      <c r="F22" s="3"/>
      <c r="G22" s="3"/>
      <c r="H22" s="52"/>
      <c r="L22" s="52"/>
      <c r="M22" s="52"/>
    </row>
    <row r="23" spans="1:13" x14ac:dyDescent="0.25">
      <c r="A23" s="90" t="s">
        <v>1156</v>
      </c>
      <c r="B23" s="86" t="s">
        <v>1157</v>
      </c>
      <c r="C23" s="90" t="s">
        <v>184</v>
      </c>
      <c r="D23" s="90" t="s">
        <v>184</v>
      </c>
      <c r="E23" s="3"/>
      <c r="F23" s="3"/>
      <c r="G23" s="3"/>
      <c r="H23" s="52"/>
      <c r="L23" s="52"/>
      <c r="M23" s="52"/>
    </row>
    <row r="24" spans="1:13" x14ac:dyDescent="0.25">
      <c r="A24" s="90" t="s">
        <v>1158</v>
      </c>
      <c r="B24" s="86" t="s">
        <v>1159</v>
      </c>
      <c r="C24" s="81" t="s">
        <v>1160</v>
      </c>
      <c r="D24" s="90" t="s">
        <v>184</v>
      </c>
      <c r="E24" s="3"/>
      <c r="F24" s="3"/>
      <c r="G24" s="3"/>
      <c r="H24" s="52"/>
      <c r="L24" s="52"/>
      <c r="M24" s="52"/>
    </row>
    <row r="25" spans="1:13" outlineLevel="1" x14ac:dyDescent="0.25">
      <c r="A25" s="90" t="s">
        <v>1161</v>
      </c>
      <c r="B25" s="91"/>
      <c r="E25" s="3"/>
      <c r="F25" s="3"/>
      <c r="G25" s="3"/>
      <c r="H25" s="52"/>
      <c r="L25" s="52"/>
      <c r="M25" s="52"/>
    </row>
    <row r="26" spans="1:13" outlineLevel="1" x14ac:dyDescent="0.25">
      <c r="A26" s="90" t="s">
        <v>1162</v>
      </c>
      <c r="B26" s="91"/>
      <c r="E26" s="3"/>
      <c r="F26" s="3"/>
      <c r="G26" s="3"/>
      <c r="H26" s="52"/>
      <c r="L26" s="52"/>
      <c r="M26" s="52"/>
    </row>
    <row r="27" spans="1:13" outlineLevel="1" x14ac:dyDescent="0.25">
      <c r="A27" s="90" t="s">
        <v>1163</v>
      </c>
      <c r="B27" s="91"/>
      <c r="E27" s="3"/>
      <c r="F27" s="3"/>
      <c r="G27" s="3"/>
      <c r="H27" s="52"/>
      <c r="L27" s="52"/>
      <c r="M27" s="52"/>
    </row>
    <row r="28" spans="1:13" outlineLevel="1" x14ac:dyDescent="0.25">
      <c r="A28" s="90" t="s">
        <v>1164</v>
      </c>
      <c r="B28" s="91"/>
      <c r="E28" s="3"/>
      <c r="F28" s="3"/>
      <c r="G28" s="3"/>
      <c r="H28" s="52"/>
      <c r="L28" s="52"/>
      <c r="M28" s="52"/>
    </row>
    <row r="29" spans="1:13" outlineLevel="1" x14ac:dyDescent="0.25">
      <c r="A29" s="90" t="s">
        <v>1165</v>
      </c>
      <c r="B29" s="91"/>
      <c r="E29" s="3"/>
      <c r="F29" s="3"/>
      <c r="G29" s="3"/>
      <c r="H29" s="52"/>
      <c r="L29" s="52"/>
      <c r="M29" s="52"/>
    </row>
    <row r="30" spans="1:13" outlineLevel="1" x14ac:dyDescent="0.25">
      <c r="A30" s="90" t="s">
        <v>1166</v>
      </c>
      <c r="B30" s="91"/>
      <c r="E30" s="3"/>
      <c r="F30" s="3"/>
      <c r="G30" s="3"/>
      <c r="H30" s="52"/>
      <c r="L30" s="52"/>
      <c r="M30" s="52"/>
    </row>
    <row r="31" spans="1:13" outlineLevel="1" x14ac:dyDescent="0.25">
      <c r="A31" s="90" t="s">
        <v>1167</v>
      </c>
      <c r="B31" s="91"/>
      <c r="E31" s="3"/>
      <c r="F31" s="3"/>
      <c r="G31" s="3"/>
      <c r="H31" s="52"/>
      <c r="L31" s="52"/>
      <c r="M31" s="52"/>
    </row>
    <row r="32" spans="1:13" outlineLevel="1" x14ac:dyDescent="0.25">
      <c r="A32" s="90" t="s">
        <v>1168</v>
      </c>
      <c r="B32" s="91"/>
      <c r="E32" s="3"/>
      <c r="F32" s="3"/>
      <c r="G32" s="3"/>
      <c r="H32" s="52"/>
      <c r="L32" s="52"/>
      <c r="M32" s="52"/>
    </row>
    <row r="33" spans="1:13" ht="18.75" x14ac:dyDescent="0.25">
      <c r="A33" s="15"/>
      <c r="B33" s="18" t="s">
        <v>1129</v>
      </c>
      <c r="C33" s="15"/>
      <c r="D33" s="15"/>
      <c r="E33" s="15"/>
      <c r="F33" s="15"/>
      <c r="G33" s="15"/>
      <c r="H33" s="52"/>
      <c r="L33" s="52"/>
      <c r="M33" s="52"/>
    </row>
    <row r="34" spans="1:13" ht="15" customHeight="1" x14ac:dyDescent="0.25">
      <c r="A34" s="58"/>
      <c r="B34" s="60" t="s">
        <v>1169</v>
      </c>
      <c r="C34" s="58" t="s">
        <v>1170</v>
      </c>
      <c r="D34" s="58" t="s">
        <v>1138</v>
      </c>
      <c r="E34" s="58" t="s">
        <v>1171</v>
      </c>
      <c r="F34" s="59"/>
      <c r="G34" s="59"/>
      <c r="H34" s="52"/>
      <c r="L34" s="52"/>
      <c r="M34" s="52"/>
    </row>
    <row r="35" spans="1:13" x14ac:dyDescent="0.25">
      <c r="A35" s="90" t="s">
        <v>1172</v>
      </c>
      <c r="B35" s="86" t="s">
        <v>1173</v>
      </c>
      <c r="C35" s="90" t="s">
        <v>184</v>
      </c>
      <c r="D35" s="90" t="s">
        <v>184</v>
      </c>
      <c r="E35" s="90" t="s">
        <v>184</v>
      </c>
      <c r="F35" s="139"/>
      <c r="G35" s="139"/>
      <c r="H35" s="52"/>
      <c r="L35" s="52"/>
      <c r="M35" s="52"/>
    </row>
    <row r="36" spans="1:13" x14ac:dyDescent="0.25">
      <c r="A36" s="90" t="s">
        <v>1174</v>
      </c>
      <c r="B36" s="86" t="s">
        <v>1175</v>
      </c>
      <c r="C36" s="90" t="s">
        <v>184</v>
      </c>
      <c r="D36" s="90" t="s">
        <v>184</v>
      </c>
      <c r="E36" s="90" t="s">
        <v>184</v>
      </c>
      <c r="H36" s="52"/>
      <c r="L36" s="52"/>
      <c r="M36" s="52"/>
    </row>
    <row r="37" spans="1:13" x14ac:dyDescent="0.25">
      <c r="A37" s="90" t="s">
        <v>1176</v>
      </c>
      <c r="B37" s="86" t="s">
        <v>1177</v>
      </c>
      <c r="C37" s="90" t="s">
        <v>184</v>
      </c>
      <c r="D37" s="90" t="s">
        <v>184</v>
      </c>
      <c r="E37" s="90" t="s">
        <v>184</v>
      </c>
      <c r="H37" s="52"/>
      <c r="L37" s="52"/>
      <c r="M37" s="52"/>
    </row>
    <row r="38" spans="1:13" x14ac:dyDescent="0.25">
      <c r="A38" s="90" t="s">
        <v>1178</v>
      </c>
      <c r="B38" s="86" t="s">
        <v>1179</v>
      </c>
      <c r="C38" s="90" t="s">
        <v>184</v>
      </c>
      <c r="D38" s="90" t="s">
        <v>184</v>
      </c>
      <c r="E38" s="90" t="s">
        <v>184</v>
      </c>
      <c r="H38" s="52"/>
      <c r="L38" s="52"/>
      <c r="M38" s="52"/>
    </row>
    <row r="39" spans="1:13" x14ac:dyDescent="0.25">
      <c r="A39" s="90" t="s">
        <v>1180</v>
      </c>
      <c r="B39" s="86" t="s">
        <v>1181</v>
      </c>
      <c r="C39" s="90" t="s">
        <v>184</v>
      </c>
      <c r="D39" s="90" t="s">
        <v>184</v>
      </c>
      <c r="E39" s="90" t="s">
        <v>184</v>
      </c>
      <c r="H39" s="52"/>
      <c r="L39" s="52"/>
      <c r="M39" s="52"/>
    </row>
    <row r="40" spans="1:13" x14ac:dyDescent="0.25">
      <c r="A40" s="90" t="s">
        <v>1182</v>
      </c>
      <c r="B40" s="86" t="s">
        <v>1183</v>
      </c>
      <c r="C40" s="90" t="s">
        <v>184</v>
      </c>
      <c r="D40" s="90" t="s">
        <v>184</v>
      </c>
      <c r="E40" s="90" t="s">
        <v>184</v>
      </c>
      <c r="H40" s="52"/>
      <c r="L40" s="52"/>
      <c r="M40" s="52"/>
    </row>
    <row r="41" spans="1:13" x14ac:dyDescent="0.25">
      <c r="A41" s="90" t="s">
        <v>1184</v>
      </c>
      <c r="B41" s="86" t="s">
        <v>1185</v>
      </c>
      <c r="C41" s="90" t="s">
        <v>184</v>
      </c>
      <c r="D41" s="90" t="s">
        <v>184</v>
      </c>
      <c r="E41" s="90" t="s">
        <v>184</v>
      </c>
      <c r="H41" s="52"/>
      <c r="L41" s="52"/>
      <c r="M41" s="52"/>
    </row>
    <row r="42" spans="1:13" x14ac:dyDescent="0.25">
      <c r="A42" s="90" t="s">
        <v>1186</v>
      </c>
      <c r="B42" s="86" t="s">
        <v>1187</v>
      </c>
      <c r="C42" s="90" t="s">
        <v>184</v>
      </c>
      <c r="D42" s="90" t="s">
        <v>184</v>
      </c>
      <c r="E42" s="90" t="s">
        <v>184</v>
      </c>
      <c r="H42" s="52"/>
      <c r="L42" s="52"/>
      <c r="M42" s="52"/>
    </row>
    <row r="43" spans="1:13" x14ac:dyDescent="0.25">
      <c r="A43" s="90" t="s">
        <v>1188</v>
      </c>
      <c r="B43" s="86" t="s">
        <v>1189</v>
      </c>
      <c r="C43" s="90" t="s">
        <v>184</v>
      </c>
      <c r="D43" s="90" t="s">
        <v>184</v>
      </c>
      <c r="E43" s="90" t="s">
        <v>184</v>
      </c>
      <c r="H43" s="52"/>
      <c r="L43" s="52"/>
      <c r="M43" s="52"/>
    </row>
    <row r="44" spans="1:13" x14ac:dyDescent="0.25">
      <c r="A44" s="90" t="s">
        <v>1190</v>
      </c>
      <c r="B44" s="86" t="s">
        <v>1191</v>
      </c>
      <c r="C44" s="90" t="s">
        <v>184</v>
      </c>
      <c r="D44" s="90" t="s">
        <v>184</v>
      </c>
      <c r="E44" s="90" t="s">
        <v>184</v>
      </c>
      <c r="H44" s="52"/>
      <c r="L44" s="52"/>
      <c r="M44" s="52"/>
    </row>
    <row r="45" spans="1:13" x14ac:dyDescent="0.25">
      <c r="A45" s="90" t="s">
        <v>1192</v>
      </c>
      <c r="B45" s="86" t="s">
        <v>1193</v>
      </c>
      <c r="C45" s="90" t="s">
        <v>184</v>
      </c>
      <c r="D45" s="90" t="s">
        <v>184</v>
      </c>
      <c r="E45" s="90" t="s">
        <v>184</v>
      </c>
      <c r="H45" s="52"/>
      <c r="L45" s="52"/>
      <c r="M45" s="52"/>
    </row>
    <row r="46" spans="1:13" x14ac:dyDescent="0.25">
      <c r="A46" s="90" t="s">
        <v>1194</v>
      </c>
      <c r="B46" s="86" t="s">
        <v>1195</v>
      </c>
      <c r="C46" s="90" t="s">
        <v>184</v>
      </c>
      <c r="D46" s="90" t="s">
        <v>184</v>
      </c>
      <c r="E46" s="90" t="s">
        <v>184</v>
      </c>
      <c r="H46" s="52"/>
      <c r="L46" s="52"/>
      <c r="M46" s="52"/>
    </row>
    <row r="47" spans="1:13" x14ac:dyDescent="0.25">
      <c r="A47" s="90" t="s">
        <v>1196</v>
      </c>
      <c r="B47" s="86" t="s">
        <v>1197</v>
      </c>
      <c r="C47" s="90" t="s">
        <v>184</v>
      </c>
      <c r="D47" s="90" t="s">
        <v>184</v>
      </c>
      <c r="E47" s="90" t="s">
        <v>184</v>
      </c>
      <c r="H47" s="52"/>
      <c r="L47" s="52"/>
      <c r="M47" s="52"/>
    </row>
    <row r="48" spans="1:13" x14ac:dyDescent="0.25">
      <c r="A48" s="90" t="s">
        <v>1198</v>
      </c>
      <c r="B48" s="86" t="s">
        <v>1199</v>
      </c>
      <c r="C48" s="90" t="s">
        <v>184</v>
      </c>
      <c r="D48" s="90" t="s">
        <v>184</v>
      </c>
      <c r="E48" s="90" t="s">
        <v>184</v>
      </c>
      <c r="H48" s="52"/>
      <c r="L48" s="52"/>
      <c r="M48" s="52"/>
    </row>
    <row r="49" spans="1:13" x14ac:dyDescent="0.25">
      <c r="A49" s="90" t="s">
        <v>1200</v>
      </c>
      <c r="B49" s="86" t="s">
        <v>1201</v>
      </c>
      <c r="C49" s="90" t="s">
        <v>184</v>
      </c>
      <c r="D49" s="90" t="s">
        <v>184</v>
      </c>
      <c r="E49" s="90" t="s">
        <v>184</v>
      </c>
      <c r="H49" s="52"/>
      <c r="L49" s="52"/>
      <c r="M49" s="52"/>
    </row>
    <row r="50" spans="1:13" x14ac:dyDescent="0.25">
      <c r="A50" s="90" t="s">
        <v>1202</v>
      </c>
      <c r="B50" s="86" t="s">
        <v>1203</v>
      </c>
      <c r="C50" s="90" t="s">
        <v>184</v>
      </c>
      <c r="D50" s="90" t="s">
        <v>184</v>
      </c>
      <c r="E50" s="90" t="s">
        <v>184</v>
      </c>
      <c r="H50" s="52"/>
      <c r="L50" s="52"/>
      <c r="M50" s="52"/>
    </row>
    <row r="51" spans="1:13" x14ac:dyDescent="0.25">
      <c r="A51" s="90" t="s">
        <v>1204</v>
      </c>
      <c r="B51" s="86" t="s">
        <v>1205</v>
      </c>
      <c r="C51" s="90" t="s">
        <v>184</v>
      </c>
      <c r="D51" s="90" t="s">
        <v>184</v>
      </c>
      <c r="E51" s="90" t="s">
        <v>184</v>
      </c>
      <c r="H51" s="52"/>
      <c r="L51" s="52"/>
      <c r="M51" s="52"/>
    </row>
    <row r="52" spans="1:13" x14ac:dyDescent="0.25">
      <c r="A52" s="90" t="s">
        <v>1206</v>
      </c>
      <c r="B52" s="86" t="s">
        <v>1207</v>
      </c>
      <c r="C52" s="90" t="s">
        <v>184</v>
      </c>
      <c r="D52" s="90" t="s">
        <v>184</v>
      </c>
      <c r="E52" s="90" t="s">
        <v>184</v>
      </c>
      <c r="H52" s="52"/>
      <c r="L52" s="52"/>
      <c r="M52" s="52"/>
    </row>
    <row r="53" spans="1:13" x14ac:dyDescent="0.25">
      <c r="A53" s="90" t="s">
        <v>1208</v>
      </c>
      <c r="B53" s="86" t="s">
        <v>1209</v>
      </c>
      <c r="C53" s="90" t="s">
        <v>184</v>
      </c>
      <c r="D53" s="90" t="s">
        <v>184</v>
      </c>
      <c r="E53" s="90" t="s">
        <v>184</v>
      </c>
      <c r="H53" s="52"/>
      <c r="L53" s="52"/>
      <c r="M53" s="52"/>
    </row>
    <row r="54" spans="1:13" x14ac:dyDescent="0.25">
      <c r="A54" s="90" t="s">
        <v>1210</v>
      </c>
      <c r="B54" s="86" t="s">
        <v>1211</v>
      </c>
      <c r="C54" s="90" t="s">
        <v>184</v>
      </c>
      <c r="D54" s="90" t="s">
        <v>184</v>
      </c>
      <c r="E54" s="90" t="s">
        <v>184</v>
      </c>
      <c r="H54" s="52"/>
      <c r="L54" s="52"/>
      <c r="M54" s="52"/>
    </row>
    <row r="55" spans="1:13" x14ac:dyDescent="0.25">
      <c r="A55" s="90" t="s">
        <v>1212</v>
      </c>
      <c r="B55" s="86" t="s">
        <v>1213</v>
      </c>
      <c r="C55" s="90" t="s">
        <v>184</v>
      </c>
      <c r="D55" s="90" t="s">
        <v>184</v>
      </c>
      <c r="E55" s="90" t="s">
        <v>184</v>
      </c>
      <c r="H55" s="52"/>
      <c r="L55" s="52"/>
      <c r="M55" s="52"/>
    </row>
    <row r="56" spans="1:13" x14ac:dyDescent="0.25">
      <c r="A56" s="90" t="s">
        <v>1214</v>
      </c>
      <c r="B56" s="86" t="s">
        <v>1215</v>
      </c>
      <c r="C56" s="90" t="s">
        <v>184</v>
      </c>
      <c r="D56" s="90" t="s">
        <v>184</v>
      </c>
      <c r="E56" s="90" t="s">
        <v>184</v>
      </c>
      <c r="H56" s="52"/>
      <c r="L56" s="52"/>
      <c r="M56" s="52"/>
    </row>
    <row r="57" spans="1:13" x14ac:dyDescent="0.25">
      <c r="A57" s="90" t="s">
        <v>1216</v>
      </c>
      <c r="B57" s="86" t="s">
        <v>1217</v>
      </c>
      <c r="C57" s="90" t="s">
        <v>184</v>
      </c>
      <c r="D57" s="90" t="s">
        <v>184</v>
      </c>
      <c r="E57" s="90" t="s">
        <v>184</v>
      </c>
      <c r="H57" s="52"/>
      <c r="L57" s="52"/>
      <c r="M57" s="52"/>
    </row>
    <row r="58" spans="1:13" x14ac:dyDescent="0.25">
      <c r="A58" s="90" t="s">
        <v>1218</v>
      </c>
      <c r="B58" s="86" t="s">
        <v>1219</v>
      </c>
      <c r="C58" s="90" t="s">
        <v>184</v>
      </c>
      <c r="D58" s="90" t="s">
        <v>184</v>
      </c>
      <c r="E58" s="90" t="s">
        <v>184</v>
      </c>
      <c r="H58" s="52"/>
      <c r="L58" s="52"/>
      <c r="M58" s="52"/>
    </row>
    <row r="59" spans="1:13" x14ac:dyDescent="0.25">
      <c r="A59" s="90" t="s">
        <v>1220</v>
      </c>
      <c r="B59" s="86" t="s">
        <v>1221</v>
      </c>
      <c r="C59" s="90" t="s">
        <v>184</v>
      </c>
      <c r="D59" s="90" t="s">
        <v>184</v>
      </c>
      <c r="E59" s="90" t="s">
        <v>184</v>
      </c>
      <c r="H59" s="52"/>
      <c r="L59" s="52"/>
      <c r="M59" s="52"/>
    </row>
    <row r="60" spans="1:13" outlineLevel="1" x14ac:dyDescent="0.25">
      <c r="A60" s="90" t="s">
        <v>1222</v>
      </c>
      <c r="B60" s="86"/>
      <c r="E60" s="86"/>
      <c r="F60" s="86"/>
      <c r="G60" s="86"/>
      <c r="H60" s="52"/>
      <c r="L60" s="52"/>
      <c r="M60" s="52"/>
    </row>
    <row r="61" spans="1:13" outlineLevel="1" x14ac:dyDescent="0.25">
      <c r="A61" s="90" t="s">
        <v>1223</v>
      </c>
      <c r="B61" s="86"/>
      <c r="E61" s="86"/>
      <c r="F61" s="86"/>
      <c r="G61" s="86"/>
      <c r="H61" s="52"/>
      <c r="L61" s="52"/>
      <c r="M61" s="52"/>
    </row>
    <row r="62" spans="1:13" outlineLevel="1" x14ac:dyDescent="0.25">
      <c r="A62" s="90" t="s">
        <v>1224</v>
      </c>
      <c r="B62" s="86"/>
      <c r="E62" s="86"/>
      <c r="F62" s="86"/>
      <c r="G62" s="86"/>
      <c r="H62" s="52"/>
      <c r="L62" s="52"/>
      <c r="M62" s="52"/>
    </row>
    <row r="63" spans="1:13" outlineLevel="1" x14ac:dyDescent="0.25">
      <c r="A63" s="90" t="s">
        <v>1225</v>
      </c>
      <c r="B63" s="86"/>
      <c r="E63" s="86"/>
      <c r="F63" s="86"/>
      <c r="G63" s="86"/>
      <c r="H63" s="52"/>
      <c r="L63" s="52"/>
      <c r="M63" s="52"/>
    </row>
    <row r="64" spans="1:13" outlineLevel="1" x14ac:dyDescent="0.25">
      <c r="A64" s="90" t="s">
        <v>1226</v>
      </c>
      <c r="B64" s="86"/>
      <c r="E64" s="86"/>
      <c r="F64" s="86"/>
      <c r="G64" s="86"/>
      <c r="H64" s="52"/>
      <c r="L64" s="52"/>
      <c r="M64" s="52"/>
    </row>
    <row r="65" spans="1:14" outlineLevel="1" x14ac:dyDescent="0.25">
      <c r="A65" s="90" t="s">
        <v>1227</v>
      </c>
      <c r="B65" s="86"/>
      <c r="E65" s="86"/>
      <c r="F65" s="86"/>
      <c r="G65" s="86"/>
      <c r="H65" s="52"/>
      <c r="L65" s="52"/>
      <c r="M65" s="52"/>
    </row>
    <row r="66" spans="1:14" outlineLevel="1" x14ac:dyDescent="0.25">
      <c r="A66" s="90" t="s">
        <v>1228</v>
      </c>
      <c r="B66" s="86"/>
      <c r="E66" s="86"/>
      <c r="F66" s="86"/>
      <c r="G66" s="86"/>
      <c r="H66" s="52"/>
      <c r="L66" s="52"/>
      <c r="M66" s="52"/>
    </row>
    <row r="67" spans="1:14" outlineLevel="1" x14ac:dyDescent="0.25">
      <c r="A67" s="90" t="s">
        <v>1229</v>
      </c>
      <c r="B67" s="86"/>
      <c r="E67" s="86"/>
      <c r="F67" s="86"/>
      <c r="G67" s="86"/>
      <c r="H67" s="52"/>
      <c r="L67" s="52"/>
      <c r="M67" s="52"/>
    </row>
    <row r="68" spans="1:14" outlineLevel="1" x14ac:dyDescent="0.25">
      <c r="A68" s="90" t="s">
        <v>1230</v>
      </c>
      <c r="B68" s="86"/>
      <c r="E68" s="86"/>
      <c r="F68" s="86"/>
      <c r="G68" s="86"/>
      <c r="H68" s="52"/>
      <c r="L68" s="52"/>
      <c r="M68" s="52"/>
    </row>
    <row r="69" spans="1:14" outlineLevel="1" x14ac:dyDescent="0.25">
      <c r="A69" s="90" t="s">
        <v>1231</v>
      </c>
      <c r="B69" s="86"/>
      <c r="E69" s="86"/>
      <c r="F69" s="86"/>
      <c r="G69" s="86"/>
      <c r="H69" s="52"/>
      <c r="L69" s="52"/>
      <c r="M69" s="52"/>
    </row>
    <row r="70" spans="1:14" outlineLevel="1" x14ac:dyDescent="0.25">
      <c r="A70" s="90" t="s">
        <v>1232</v>
      </c>
      <c r="B70" s="86"/>
      <c r="E70" s="86"/>
      <c r="F70" s="86"/>
      <c r="G70" s="86"/>
      <c r="H70" s="52"/>
      <c r="L70" s="52"/>
      <c r="M70" s="52"/>
    </row>
    <row r="71" spans="1:14" outlineLevel="1" x14ac:dyDescent="0.25">
      <c r="A71" s="90" t="s">
        <v>1233</v>
      </c>
      <c r="B71" s="86"/>
      <c r="E71" s="86"/>
      <c r="F71" s="86"/>
      <c r="G71" s="86"/>
      <c r="H71" s="52"/>
      <c r="L71" s="52"/>
      <c r="M71" s="52"/>
    </row>
    <row r="72" spans="1:14" outlineLevel="1" x14ac:dyDescent="0.25">
      <c r="A72" s="90" t="s">
        <v>1234</v>
      </c>
      <c r="B72" s="86"/>
      <c r="E72" s="86"/>
      <c r="F72" s="86"/>
      <c r="G72" s="86"/>
      <c r="H72" s="52"/>
      <c r="L72" s="52"/>
      <c r="M72" s="52"/>
    </row>
    <row r="73" spans="1:14" ht="18.75" x14ac:dyDescent="0.25">
      <c r="A73" s="15"/>
      <c r="B73" s="18" t="s">
        <v>1132</v>
      </c>
      <c r="C73" s="15"/>
      <c r="D73" s="15"/>
      <c r="E73" s="15"/>
      <c r="F73" s="15"/>
      <c r="G73" s="15"/>
      <c r="H73" s="52"/>
    </row>
    <row r="74" spans="1:14" ht="15" customHeight="1" x14ac:dyDescent="0.25">
      <c r="A74" s="58"/>
      <c r="B74" s="60" t="s">
        <v>982</v>
      </c>
      <c r="C74" s="58" t="s">
        <v>1235</v>
      </c>
      <c r="D74" s="58"/>
      <c r="E74" s="59"/>
      <c r="F74" s="59"/>
      <c r="G74" s="59"/>
      <c r="H74" s="51"/>
      <c r="I74" s="51"/>
      <c r="J74" s="51"/>
      <c r="K74" s="51"/>
      <c r="L74" s="51"/>
      <c r="M74" s="51"/>
      <c r="N74" s="51"/>
    </row>
    <row r="75" spans="1:14" x14ac:dyDescent="0.25">
      <c r="A75" s="90" t="s">
        <v>1236</v>
      </c>
      <c r="B75" s="90" t="s">
        <v>1237</v>
      </c>
      <c r="C75" s="90">
        <v>36.22</v>
      </c>
      <c r="H75" s="52"/>
    </row>
    <row r="76" spans="1:14" x14ac:dyDescent="0.25">
      <c r="A76" s="90" t="s">
        <v>1238</v>
      </c>
      <c r="B76" s="90" t="s">
        <v>1239</v>
      </c>
      <c r="C76" s="90">
        <v>206.23</v>
      </c>
      <c r="H76" s="52"/>
    </row>
    <row r="77" spans="1:14" outlineLevel="1" x14ac:dyDescent="0.25">
      <c r="A77" s="90" t="s">
        <v>1240</v>
      </c>
      <c r="H77" s="52"/>
    </row>
    <row r="78" spans="1:14" outlineLevel="1" x14ac:dyDescent="0.25">
      <c r="A78" s="90" t="s">
        <v>1241</v>
      </c>
      <c r="H78" s="52"/>
    </row>
    <row r="79" spans="1:14" outlineLevel="1" x14ac:dyDescent="0.25">
      <c r="A79" s="90" t="s">
        <v>1242</v>
      </c>
      <c r="H79" s="52"/>
    </row>
    <row r="80" spans="1:14" outlineLevel="1" x14ac:dyDescent="0.25">
      <c r="A80" s="90" t="s">
        <v>1243</v>
      </c>
      <c r="H80" s="52"/>
    </row>
    <row r="81" spans="1:8" x14ac:dyDescent="0.25">
      <c r="A81" s="58"/>
      <c r="B81" s="60" t="s">
        <v>1244</v>
      </c>
      <c r="C81" s="58" t="s">
        <v>142</v>
      </c>
      <c r="D81" s="58" t="s">
        <v>143</v>
      </c>
      <c r="E81" s="59" t="s">
        <v>243</v>
      </c>
      <c r="F81" s="59" t="s">
        <v>258</v>
      </c>
      <c r="G81" s="59" t="s">
        <v>1245</v>
      </c>
      <c r="H81" s="52"/>
    </row>
    <row r="82" spans="1:8" x14ac:dyDescent="0.25">
      <c r="A82" s="90" t="s">
        <v>1246</v>
      </c>
      <c r="B82" s="90" t="s">
        <v>1247</v>
      </c>
      <c r="C82" s="142">
        <v>0.99891054856843053</v>
      </c>
      <c r="D82" s="142">
        <v>0.99445758348609947</v>
      </c>
      <c r="E82" s="90" t="s">
        <v>184</v>
      </c>
      <c r="F82" s="90" t="s">
        <v>184</v>
      </c>
      <c r="G82" s="142">
        <v>0.99665172639234645</v>
      </c>
      <c r="H82" s="52"/>
    </row>
    <row r="83" spans="1:8" x14ac:dyDescent="0.25">
      <c r="A83" s="90" t="s">
        <v>1248</v>
      </c>
      <c r="B83" s="90" t="s">
        <v>1249</v>
      </c>
      <c r="C83" s="142">
        <v>8.8828203213599266E-4</v>
      </c>
      <c r="D83" s="142">
        <v>3.3223970499090616E-4</v>
      </c>
      <c r="E83" s="90" t="s">
        <v>184</v>
      </c>
      <c r="F83" s="90" t="s">
        <v>184</v>
      </c>
      <c r="G83" s="142">
        <v>6.0622261415870253E-4</v>
      </c>
      <c r="H83" s="52"/>
    </row>
    <row r="84" spans="1:8" x14ac:dyDescent="0.25">
      <c r="A84" s="90" t="s">
        <v>1250</v>
      </c>
      <c r="B84" s="90" t="s">
        <v>1251</v>
      </c>
      <c r="C84" s="142">
        <v>2.0116939943342499E-4</v>
      </c>
      <c r="D84" s="142">
        <v>0</v>
      </c>
      <c r="E84" s="90" t="s">
        <v>184</v>
      </c>
      <c r="F84" s="90" t="s">
        <v>184</v>
      </c>
      <c r="G84" s="142">
        <v>9.9123708037296361E-5</v>
      </c>
      <c r="H84" s="52"/>
    </row>
    <row r="85" spans="1:8" x14ac:dyDescent="0.25">
      <c r="A85" s="90" t="s">
        <v>1252</v>
      </c>
      <c r="B85" s="90" t="s">
        <v>1253</v>
      </c>
      <c r="C85" s="142">
        <v>0</v>
      </c>
      <c r="D85" s="142">
        <v>5.2101768089096098E-3</v>
      </c>
      <c r="E85" s="90" t="s">
        <v>184</v>
      </c>
      <c r="F85" s="90" t="s">
        <v>184</v>
      </c>
      <c r="G85" s="142">
        <v>2.642927285455295E-3</v>
      </c>
      <c r="H85" s="52"/>
    </row>
    <row r="86" spans="1:8" x14ac:dyDescent="0.25">
      <c r="A86" s="90" t="s">
        <v>1254</v>
      </c>
      <c r="B86" s="90" t="s">
        <v>1255</v>
      </c>
      <c r="C86" s="142">
        <v>0</v>
      </c>
      <c r="D86" s="142">
        <v>0</v>
      </c>
      <c r="E86" s="90" t="s">
        <v>184</v>
      </c>
      <c r="F86" s="90" t="s">
        <v>184</v>
      </c>
      <c r="G86" s="142">
        <v>0</v>
      </c>
      <c r="H86" s="52"/>
    </row>
    <row r="87" spans="1:8" outlineLevel="1" x14ac:dyDescent="0.25">
      <c r="A87" s="90" t="s">
        <v>1256</v>
      </c>
      <c r="H87" s="52"/>
    </row>
    <row r="88" spans="1:8" outlineLevel="1" x14ac:dyDescent="0.25">
      <c r="A88" s="90" t="s">
        <v>1257</v>
      </c>
      <c r="H88" s="52"/>
    </row>
    <row r="89" spans="1:8" outlineLevel="1" x14ac:dyDescent="0.25">
      <c r="A89" s="90" t="s">
        <v>1258</v>
      </c>
      <c r="H89" s="52"/>
    </row>
    <row r="90" spans="1:8" outlineLevel="1" x14ac:dyDescent="0.25">
      <c r="A90" s="90" t="s">
        <v>1259</v>
      </c>
      <c r="H90" s="52"/>
    </row>
    <row r="91" spans="1:8" x14ac:dyDescent="0.25">
      <c r="H91" s="52"/>
    </row>
    <row r="92" spans="1:8" x14ac:dyDescent="0.25">
      <c r="H92" s="52"/>
    </row>
    <row r="93" spans="1:8" x14ac:dyDescent="0.25">
      <c r="H93" s="52"/>
    </row>
    <row r="94" spans="1:8" x14ac:dyDescent="0.25">
      <c r="H94" s="52"/>
    </row>
    <row r="95" spans="1:8" x14ac:dyDescent="0.25">
      <c r="H95" s="52"/>
    </row>
    <row r="96" spans="1:8" x14ac:dyDescent="0.25">
      <c r="H96" s="52"/>
    </row>
    <row r="97" spans="8:8" x14ac:dyDescent="0.25">
      <c r="H97" s="52"/>
    </row>
    <row r="98" spans="8:8" x14ac:dyDescent="0.25">
      <c r="H98" s="52"/>
    </row>
    <row r="99" spans="8:8" x14ac:dyDescent="0.25">
      <c r="H99" s="52"/>
    </row>
    <row r="100" spans="8:8" x14ac:dyDescent="0.25">
      <c r="H100" s="52"/>
    </row>
    <row r="101" spans="8:8" x14ac:dyDescent="0.25">
      <c r="H101" s="52"/>
    </row>
    <row r="102" spans="8:8" x14ac:dyDescent="0.25">
      <c r="H102" s="52"/>
    </row>
    <row r="103" spans="8:8" x14ac:dyDescent="0.25">
      <c r="H103" s="52"/>
    </row>
    <row r="104" spans="8:8" x14ac:dyDescent="0.25">
      <c r="H104" s="52"/>
    </row>
    <row r="105" spans="8:8" x14ac:dyDescent="0.25">
      <c r="H105" s="52"/>
    </row>
    <row r="106" spans="8:8" x14ac:dyDescent="0.25">
      <c r="H106" s="52"/>
    </row>
    <row r="107" spans="8:8" x14ac:dyDescent="0.25">
      <c r="H107" s="52"/>
    </row>
    <row r="108" spans="8:8" x14ac:dyDescent="0.25">
      <c r="H108" s="52"/>
    </row>
    <row r="109" spans="8:8" x14ac:dyDescent="0.25">
      <c r="H109" s="52"/>
    </row>
    <row r="110" spans="8:8" x14ac:dyDescent="0.25">
      <c r="H110" s="52"/>
    </row>
    <row r="111" spans="8:8" x14ac:dyDescent="0.25">
      <c r="H111" s="52"/>
    </row>
    <row r="112" spans="8:8" x14ac:dyDescent="0.25">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9</vt:i4>
      </vt:variant>
    </vt:vector>
  </HeadingPairs>
  <TitlesOfParts>
    <vt:vector size="16" baseType="lpstr">
      <vt:lpstr>Introduction</vt:lpstr>
      <vt:lpstr>FAQ</vt:lpstr>
      <vt:lpstr>A. HTT General</vt:lpstr>
      <vt:lpstr>B1. HTT Mortgage Assets</vt:lpstr>
      <vt:lpstr>C. HTT Harmonised Glossary</vt:lpstr>
      <vt:lpstr>Disclaimer</vt:lpstr>
      <vt:lpstr>E. Optional ECB-ECAIs data</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Wojciech Zdunkiewicz</cp:lastModifiedBy>
  <cp:lastPrinted>2016-09-05T12:13:07Z</cp:lastPrinted>
  <dcterms:created xsi:type="dcterms:W3CDTF">2015-01-27T16:00:44Z</dcterms:created>
  <dcterms:modified xsi:type="dcterms:W3CDTF">2017-08-02T08:47:48Z</dcterms:modified>
</cp:coreProperties>
</file>