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autoCompressPictures="0" defaultThemeVersion="124226"/>
  <mc:AlternateContent xmlns:mc="http://schemas.openxmlformats.org/markup-compatibility/2006">
    <mc:Choice Requires="x15">
      <x15ac:absPath xmlns:x15ac="http://schemas.microsoft.com/office/spreadsheetml/2010/11/ac" url="C:\DS\"/>
    </mc:Choice>
  </mc:AlternateContent>
  <bookViews>
    <workbookView xWindow="0" yWindow="0" windowWidth="2370" windowHeight="0" tabRatio="754"/>
  </bookViews>
  <sheets>
    <sheet name="Introduction" sheetId="22" r:id="rId1"/>
    <sheet name="A. HTT General" sheetId="25" r:id="rId2"/>
    <sheet name="B1. HTT Mortgage Assets" sheetId="9" r:id="rId3"/>
    <sheet name="C. HTT Harmonised Glossary" sheetId="11" r:id="rId4"/>
    <sheet name="E. Optional ECB-ECAIs data" sheetId="32" r:id="rId5"/>
    <sheet name="Disclaimer" sheetId="31" r:id="rId6"/>
  </sheets>
  <definedNames>
    <definedName name="acceptable_use_policy" localSheetId="5">Disclaimer!#REF!</definedName>
    <definedName name="general_tc" localSheetId="5">Disclaimer!$A$61</definedName>
    <definedName name="_xlnm.Print_Area" localSheetId="1">'A. HTT General'!$A$1:$G$327</definedName>
    <definedName name="_xlnm.Print_Area" localSheetId="2">'B1. HTT Mortgage Assets'!$A$1:$G$326</definedName>
    <definedName name="_xlnm.Print_Area" localSheetId="3">'C. HTT Harmonised Glossary'!$A$1:$C$37</definedName>
    <definedName name="_xlnm.Print_Area" localSheetId="5">Disclaimer!$A$1:$A$170</definedName>
    <definedName name="_xlnm.Print_Area" localSheetId="4">'E. Optional ECB-ECAIs data'!$A$2:$G$72</definedName>
    <definedName name="_xlnm.Print_Area" localSheetId="0">Introduction!$B$2:$J$36</definedName>
    <definedName name="privacy_policy" localSheetId="5">Disclaimer!$A$136</definedName>
    <definedName name="_xlnm.Print_Titles" localSheetId="5">Disclaimer!$2:$2</definedName>
  </definedNames>
  <calcPr calcId="162913"/>
</workbook>
</file>

<file path=xl/calcChain.xml><?xml version="1.0" encoding="utf-8"?>
<calcChain xmlns="http://schemas.openxmlformats.org/spreadsheetml/2006/main">
  <c r="F146" i="9" l="1"/>
  <c r="C146" i="9"/>
  <c r="F44" i="9" l="1"/>
  <c r="D44" i="9"/>
  <c r="C44" i="9"/>
  <c r="C219" i="25" l="1"/>
  <c r="D45" i="25"/>
  <c r="D291" i="25" l="1"/>
  <c r="C291" i="25" l="1"/>
  <c r="C286" i="25"/>
  <c r="C288" i="25" l="1"/>
  <c r="C298" i="25"/>
  <c r="C295" i="25"/>
  <c r="C290" i="25"/>
  <c r="D290" i="25"/>
  <c r="C292" i="25" l="1"/>
  <c r="C310" i="25"/>
  <c r="C297" i="25"/>
  <c r="C296" i="25"/>
  <c r="C294" i="25"/>
  <c r="C293" i="25"/>
  <c r="C289" i="25"/>
  <c r="C287" i="25"/>
  <c r="G295" i="9"/>
  <c r="G294" i="9"/>
  <c r="G293" i="9"/>
  <c r="G292" i="9"/>
  <c r="G291" i="9"/>
  <c r="G290" i="9"/>
  <c r="D289" i="9"/>
  <c r="G285" i="9" s="1"/>
  <c r="C289" i="9"/>
  <c r="F295" i="9" s="1"/>
  <c r="G281" i="9"/>
  <c r="D266" i="9"/>
  <c r="D267" i="9" s="1"/>
  <c r="G262" i="9" s="1"/>
  <c r="C266" i="9"/>
  <c r="C267" i="9" s="1"/>
  <c r="D254" i="9"/>
  <c r="G253" i="9" s="1"/>
  <c r="C254" i="9"/>
  <c r="F253" i="9" s="1"/>
  <c r="G252" i="9"/>
  <c r="G250" i="9"/>
  <c r="F250" i="9"/>
  <c r="G248" i="9"/>
  <c r="G246" i="9"/>
  <c r="F246" i="9"/>
  <c r="G244" i="9"/>
  <c r="D240" i="9"/>
  <c r="C240" i="9"/>
  <c r="G208" i="9"/>
  <c r="G207" i="9"/>
  <c r="G206" i="9"/>
  <c r="G205" i="9"/>
  <c r="G204" i="9"/>
  <c r="G203" i="9"/>
  <c r="D202" i="9"/>
  <c r="G200" i="9" s="1"/>
  <c r="C202" i="9"/>
  <c r="F207" i="9" s="1"/>
  <c r="G199" i="9"/>
  <c r="G197" i="9"/>
  <c r="G196" i="9"/>
  <c r="G194" i="9"/>
  <c r="F194" i="9"/>
  <c r="D179" i="9"/>
  <c r="D180" i="9" s="1"/>
  <c r="G182" i="9" s="1"/>
  <c r="C179" i="9"/>
  <c r="C180" i="9" s="1"/>
  <c r="D167" i="9"/>
  <c r="G159" i="9" s="1"/>
  <c r="C167" i="9"/>
  <c r="F166" i="9" s="1"/>
  <c r="D153" i="9"/>
  <c r="C153" i="9"/>
  <c r="D146" i="9"/>
  <c r="D140" i="9"/>
  <c r="C140" i="9"/>
  <c r="D139" i="9"/>
  <c r="C139" i="9"/>
  <c r="D138" i="9"/>
  <c r="C138" i="9"/>
  <c r="D137" i="9"/>
  <c r="C137" i="9"/>
  <c r="D136" i="9"/>
  <c r="C136" i="9"/>
  <c r="D131" i="9"/>
  <c r="C131" i="9"/>
  <c r="F131" i="9" s="1"/>
  <c r="D130" i="9"/>
  <c r="C130" i="9"/>
  <c r="D129" i="9"/>
  <c r="C129" i="9"/>
  <c r="D127" i="9"/>
  <c r="C127" i="9"/>
  <c r="D126" i="9"/>
  <c r="C126" i="9"/>
  <c r="D117" i="9"/>
  <c r="C117" i="9"/>
  <c r="D116" i="9"/>
  <c r="C116" i="9"/>
  <c r="D114" i="9"/>
  <c r="C114" i="9"/>
  <c r="D113" i="9"/>
  <c r="C113" i="9"/>
  <c r="D112" i="9"/>
  <c r="C112" i="9"/>
  <c r="D111" i="9"/>
  <c r="C111" i="9"/>
  <c r="D110" i="9"/>
  <c r="C110" i="9"/>
  <c r="D109" i="9"/>
  <c r="C109" i="9"/>
  <c r="D108" i="9"/>
  <c r="C108" i="9"/>
  <c r="D107" i="9"/>
  <c r="C107" i="9"/>
  <c r="D106" i="9"/>
  <c r="C106" i="9"/>
  <c r="D105" i="9"/>
  <c r="C105" i="9"/>
  <c r="D104" i="9"/>
  <c r="C104" i="9"/>
  <c r="D103" i="9"/>
  <c r="C103" i="9"/>
  <c r="D102" i="9"/>
  <c r="C102" i="9"/>
  <c r="D101" i="9"/>
  <c r="C101" i="9"/>
  <c r="D100" i="9"/>
  <c r="C100" i="9"/>
  <c r="D99" i="9"/>
  <c r="C99" i="9"/>
  <c r="F77" i="9"/>
  <c r="D77" i="9"/>
  <c r="C77" i="9"/>
  <c r="F73" i="9"/>
  <c r="D73" i="9"/>
  <c r="C73" i="9"/>
  <c r="F36" i="9"/>
  <c r="D36" i="9"/>
  <c r="C36" i="9"/>
  <c r="F29" i="9"/>
  <c r="C15" i="9"/>
  <c r="F26" i="9" s="1"/>
  <c r="F225" i="25"/>
  <c r="F222" i="25"/>
  <c r="F219" i="25"/>
  <c r="C218" i="25"/>
  <c r="G222" i="25" s="1"/>
  <c r="F217" i="25"/>
  <c r="F216" i="25"/>
  <c r="G215" i="25"/>
  <c r="C206" i="25"/>
  <c r="F191" i="25" s="1"/>
  <c r="C205" i="25"/>
  <c r="F186" i="25"/>
  <c r="C177" i="25"/>
  <c r="F188" i="25" s="1"/>
  <c r="F175" i="25"/>
  <c r="C165" i="25"/>
  <c r="F164" i="25"/>
  <c r="F163" i="25"/>
  <c r="F162" i="25"/>
  <c r="F157" i="25"/>
  <c r="F155" i="25"/>
  <c r="F153" i="25"/>
  <c r="C151" i="25"/>
  <c r="F160" i="25" s="1"/>
  <c r="F150" i="25"/>
  <c r="F149" i="25"/>
  <c r="F148" i="25"/>
  <c r="F147" i="25"/>
  <c r="F146" i="25"/>
  <c r="F145" i="25"/>
  <c r="F144" i="25"/>
  <c r="F143" i="25"/>
  <c r="F142" i="25"/>
  <c r="F141" i="25"/>
  <c r="F140" i="25"/>
  <c r="F139" i="25"/>
  <c r="F138" i="25"/>
  <c r="D138" i="25"/>
  <c r="D137" i="25"/>
  <c r="F136" i="25"/>
  <c r="D136" i="25"/>
  <c r="C125" i="25"/>
  <c r="F134" i="25" s="1"/>
  <c r="D112" i="25"/>
  <c r="D111" i="25"/>
  <c r="D110" i="25"/>
  <c r="F103" i="25"/>
  <c r="C98" i="25"/>
  <c r="F107" i="25" s="1"/>
  <c r="F96" i="25"/>
  <c r="G86" i="25"/>
  <c r="G85" i="25"/>
  <c r="G84" i="25"/>
  <c r="G83" i="25"/>
  <c r="G82" i="25"/>
  <c r="G81" i="25"/>
  <c r="G80" i="25"/>
  <c r="G79" i="25"/>
  <c r="G78" i="25"/>
  <c r="G77" i="25"/>
  <c r="G76" i="25"/>
  <c r="C76" i="25"/>
  <c r="F70" i="25" s="1"/>
  <c r="G75" i="25"/>
  <c r="G74" i="25"/>
  <c r="G73" i="25"/>
  <c r="G72" i="25"/>
  <c r="G71" i="25"/>
  <c r="G70" i="25"/>
  <c r="G69" i="25"/>
  <c r="C58" i="25"/>
  <c r="F61" i="25" s="1"/>
  <c r="F113" i="25" l="1"/>
  <c r="F121" i="25"/>
  <c r="F133" i="25"/>
  <c r="F59" i="25"/>
  <c r="F53" i="25"/>
  <c r="F54" i="25"/>
  <c r="F94" i="25"/>
  <c r="F102" i="25"/>
  <c r="F110" i="25"/>
  <c r="F112" i="25"/>
  <c r="F116" i="25"/>
  <c r="F120" i="25"/>
  <c r="F124" i="25"/>
  <c r="F131" i="25"/>
  <c r="F165" i="25"/>
  <c r="F173" i="25"/>
  <c r="F182" i="25"/>
  <c r="G224" i="25"/>
  <c r="F102" i="9"/>
  <c r="D128" i="9"/>
  <c r="F157" i="9"/>
  <c r="G163" i="9"/>
  <c r="F196" i="9"/>
  <c r="G198" i="9"/>
  <c r="G201" i="9"/>
  <c r="F159" i="9"/>
  <c r="F108" i="25"/>
  <c r="F111" i="25"/>
  <c r="F114" i="25"/>
  <c r="F118" i="25"/>
  <c r="F122" i="25"/>
  <c r="F127" i="25"/>
  <c r="F195" i="25"/>
  <c r="F213" i="25"/>
  <c r="F161" i="9"/>
  <c r="F200" i="9"/>
  <c r="F283" i="9"/>
  <c r="F117" i="25"/>
  <c r="F64" i="25"/>
  <c r="F92" i="25"/>
  <c r="F99" i="25"/>
  <c r="D125" i="25"/>
  <c r="F115" i="25"/>
  <c r="F119" i="25"/>
  <c r="F123" i="25"/>
  <c r="F129" i="25"/>
  <c r="F159" i="25"/>
  <c r="F178" i="25"/>
  <c r="F203" i="25"/>
  <c r="F215" i="25"/>
  <c r="F218" i="25" s="1"/>
  <c r="G217" i="25"/>
  <c r="F110" i="9"/>
  <c r="F114" i="9"/>
  <c r="F163" i="9"/>
  <c r="G195" i="9"/>
  <c r="F198" i="9"/>
  <c r="F244" i="9"/>
  <c r="F248" i="9"/>
  <c r="F252" i="9"/>
  <c r="G174" i="9"/>
  <c r="F25" i="9"/>
  <c r="F105" i="9"/>
  <c r="F12" i="9"/>
  <c r="F16" i="9"/>
  <c r="F21" i="9"/>
  <c r="F100" i="9"/>
  <c r="F103" i="9"/>
  <c r="F117" i="9"/>
  <c r="F137" i="9"/>
  <c r="F140" i="9"/>
  <c r="F165" i="9"/>
  <c r="G178" i="9"/>
  <c r="F208" i="9"/>
  <c r="F243" i="9"/>
  <c r="F245" i="9"/>
  <c r="F247" i="9"/>
  <c r="F249" i="9"/>
  <c r="F251" i="9"/>
  <c r="F285" i="9"/>
  <c r="F106" i="9"/>
  <c r="F116" i="9"/>
  <c r="F13" i="9"/>
  <c r="F17" i="9"/>
  <c r="F23" i="9"/>
  <c r="F104" i="9"/>
  <c r="F107" i="9"/>
  <c r="F113" i="9"/>
  <c r="F130" i="9"/>
  <c r="F195" i="9"/>
  <c r="F197" i="9"/>
  <c r="F199" i="9"/>
  <c r="F201" i="9"/>
  <c r="F206" i="9"/>
  <c r="G243" i="9"/>
  <c r="G245" i="9"/>
  <c r="G247" i="9"/>
  <c r="G249" i="9"/>
  <c r="G251" i="9"/>
  <c r="F281" i="9"/>
  <c r="F20" i="9"/>
  <c r="F112" i="9"/>
  <c r="F136" i="9"/>
  <c r="F14" i="9"/>
  <c r="F19" i="9"/>
  <c r="F24" i="9"/>
  <c r="F99" i="9"/>
  <c r="F108" i="9"/>
  <c r="F111" i="9"/>
  <c r="F127" i="9"/>
  <c r="F139" i="9"/>
  <c r="F204" i="9"/>
  <c r="F287" i="9"/>
  <c r="G225" i="25"/>
  <c r="C220" i="25"/>
  <c r="F220" i="25" s="1"/>
  <c r="F223" i="25"/>
  <c r="G216" i="25"/>
  <c r="G218" i="25" s="1"/>
  <c r="F221" i="25"/>
  <c r="F224" i="25"/>
  <c r="F74" i="25"/>
  <c r="F72" i="25"/>
  <c r="G111" i="25"/>
  <c r="G130" i="25"/>
  <c r="G127" i="25"/>
  <c r="G123" i="25"/>
  <c r="G121" i="25"/>
  <c r="G119" i="25"/>
  <c r="G117" i="25"/>
  <c r="G115" i="25"/>
  <c r="G113" i="25"/>
  <c r="G133" i="25"/>
  <c r="G132" i="25"/>
  <c r="G129" i="25"/>
  <c r="G128" i="25"/>
  <c r="G134" i="25"/>
  <c r="G131" i="25"/>
  <c r="G126" i="25"/>
  <c r="G124" i="25"/>
  <c r="G122" i="25"/>
  <c r="G120" i="25"/>
  <c r="G118" i="25"/>
  <c r="G116" i="25"/>
  <c r="G114" i="25"/>
  <c r="G112" i="25"/>
  <c r="G110" i="25"/>
  <c r="G166" i="9"/>
  <c r="G164" i="9"/>
  <c r="G162" i="9"/>
  <c r="G160" i="9"/>
  <c r="G158" i="9"/>
  <c r="G156" i="9"/>
  <c r="G273" i="9"/>
  <c r="G271" i="9"/>
  <c r="G269" i="9"/>
  <c r="G266" i="9"/>
  <c r="G265" i="9"/>
  <c r="G263" i="9"/>
  <c r="G261" i="9"/>
  <c r="G259" i="9"/>
  <c r="F56" i="25"/>
  <c r="F60" i="25"/>
  <c r="F69" i="25"/>
  <c r="F71" i="25"/>
  <c r="F73" i="25"/>
  <c r="F75" i="25"/>
  <c r="F91" i="25"/>
  <c r="F93" i="25"/>
  <c r="F95" i="25"/>
  <c r="F97" i="25"/>
  <c r="F101" i="25"/>
  <c r="F106" i="25"/>
  <c r="F101" i="9"/>
  <c r="F126" i="9"/>
  <c r="F138" i="9"/>
  <c r="G172" i="9"/>
  <c r="F185" i="9"/>
  <c r="F183" i="9"/>
  <c r="F181" i="9"/>
  <c r="F177" i="9"/>
  <c r="F175" i="9"/>
  <c r="F173" i="9"/>
  <c r="F186" i="9"/>
  <c r="F184" i="9"/>
  <c r="F182" i="9"/>
  <c r="F179" i="9"/>
  <c r="F178" i="9"/>
  <c r="F176" i="9"/>
  <c r="F174" i="9"/>
  <c r="F172" i="9"/>
  <c r="G264" i="9"/>
  <c r="G268" i="9"/>
  <c r="G288" i="9"/>
  <c r="G286" i="9"/>
  <c r="G284" i="9"/>
  <c r="G282" i="9"/>
  <c r="F57" i="25"/>
  <c r="D151" i="25"/>
  <c r="F211" i="25"/>
  <c r="F207" i="25"/>
  <c r="F201" i="25"/>
  <c r="F197" i="25"/>
  <c r="F193" i="25"/>
  <c r="F210" i="25"/>
  <c r="F204" i="25"/>
  <c r="F200" i="25"/>
  <c r="F196" i="25"/>
  <c r="F192" i="25"/>
  <c r="F212" i="25"/>
  <c r="F208" i="25"/>
  <c r="F205" i="25"/>
  <c r="F202" i="25"/>
  <c r="F198" i="25"/>
  <c r="F194" i="25"/>
  <c r="F129" i="9"/>
  <c r="C128" i="9"/>
  <c r="G157" i="9"/>
  <c r="G161" i="9"/>
  <c r="G165" i="9"/>
  <c r="G185" i="9"/>
  <c r="G183" i="9"/>
  <c r="G181" i="9"/>
  <c r="G177" i="9"/>
  <c r="G175" i="9"/>
  <c r="G173" i="9"/>
  <c r="G184" i="9"/>
  <c r="F273" i="9"/>
  <c r="F271" i="9"/>
  <c r="F269" i="9"/>
  <c r="F266" i="9"/>
  <c r="F265" i="9"/>
  <c r="F263" i="9"/>
  <c r="F261" i="9"/>
  <c r="F259" i="9"/>
  <c r="F272" i="9"/>
  <c r="F270" i="9"/>
  <c r="F268" i="9"/>
  <c r="F264" i="9"/>
  <c r="F262" i="9"/>
  <c r="F260" i="9"/>
  <c r="G270" i="9"/>
  <c r="F62" i="25"/>
  <c r="F55" i="25"/>
  <c r="F58" i="25" s="1"/>
  <c r="F63" i="25"/>
  <c r="F80" i="25"/>
  <c r="F78" i="25"/>
  <c r="F81" i="25"/>
  <c r="F79" i="25"/>
  <c r="F77" i="25"/>
  <c r="F100" i="25"/>
  <c r="F199" i="25"/>
  <c r="F209" i="25"/>
  <c r="F109" i="9"/>
  <c r="G176" i="9"/>
  <c r="G179" i="9"/>
  <c r="G186" i="9"/>
  <c r="G260" i="9"/>
  <c r="G272" i="9"/>
  <c r="G283" i="9"/>
  <c r="G287" i="9"/>
  <c r="F126" i="25"/>
  <c r="F128" i="25"/>
  <c r="F130" i="25"/>
  <c r="F132" i="25"/>
  <c r="F174" i="25"/>
  <c r="F181" i="25"/>
  <c r="F185" i="25"/>
  <c r="F189" i="25"/>
  <c r="G219" i="25"/>
  <c r="G221" i="25"/>
  <c r="G223" i="25"/>
  <c r="F18" i="9"/>
  <c r="F22" i="9"/>
  <c r="F290" i="9"/>
  <c r="F292" i="9"/>
  <c r="F294" i="9"/>
  <c r="F137" i="25"/>
  <c r="F151" i="25" s="1"/>
  <c r="F172" i="25"/>
  <c r="F176" i="25"/>
  <c r="F179" i="25"/>
  <c r="F183" i="25"/>
  <c r="F187" i="25"/>
  <c r="F156" i="9"/>
  <c r="F158" i="9"/>
  <c r="F160" i="9"/>
  <c r="F162" i="9"/>
  <c r="F164" i="9"/>
  <c r="F203" i="9"/>
  <c r="F205" i="9"/>
  <c r="F282" i="9"/>
  <c r="F284" i="9"/>
  <c r="F286" i="9"/>
  <c r="F288" i="9"/>
  <c r="F291" i="9"/>
  <c r="F293" i="9"/>
  <c r="F152" i="25"/>
  <c r="F154" i="25"/>
  <c r="F156" i="25"/>
  <c r="F158" i="25"/>
  <c r="F180" i="25"/>
  <c r="F184" i="25"/>
  <c r="F125" i="25" l="1"/>
  <c r="F128" i="9"/>
  <c r="G202" i="9"/>
  <c r="F206" i="25"/>
  <c r="F15" i="9"/>
  <c r="F289" i="9"/>
  <c r="G289" i="9"/>
  <c r="G254" i="9"/>
  <c r="F254" i="9"/>
  <c r="F202" i="9"/>
  <c r="G220" i="25"/>
  <c r="G159" i="25"/>
  <c r="G157" i="25"/>
  <c r="G155" i="25"/>
  <c r="G153" i="25"/>
  <c r="G150" i="25"/>
  <c r="G148" i="25"/>
  <c r="G146" i="25"/>
  <c r="G144" i="25"/>
  <c r="G142" i="25"/>
  <c r="G140" i="25"/>
  <c r="G138" i="25"/>
  <c r="G160" i="25"/>
  <c r="G158" i="25"/>
  <c r="G156" i="25"/>
  <c r="G154" i="25"/>
  <c r="G152" i="25"/>
  <c r="G149" i="25"/>
  <c r="G147" i="25"/>
  <c r="G145" i="25"/>
  <c r="G143" i="25"/>
  <c r="G141" i="25"/>
  <c r="G139" i="25"/>
  <c r="G136" i="25"/>
  <c r="G137" i="25"/>
  <c r="F98" i="25"/>
  <c r="F76" i="25"/>
  <c r="G267" i="9"/>
  <c r="G167" i="9"/>
  <c r="G125" i="25"/>
  <c r="F180" i="9"/>
  <c r="F167" i="9"/>
  <c r="F177" i="25"/>
  <c r="F267" i="9"/>
  <c r="G180" i="9"/>
  <c r="G151" i="25" l="1"/>
</calcChain>
</file>

<file path=xl/sharedStrings.xml><?xml version="1.0" encoding="utf-8"?>
<sst xmlns="http://schemas.openxmlformats.org/spreadsheetml/2006/main" count="1775" uniqueCount="1276">
  <si>
    <t>France</t>
  </si>
  <si>
    <t>Total</t>
  </si>
  <si>
    <t>Other</t>
  </si>
  <si>
    <t>Residential</t>
  </si>
  <si>
    <t>Commercial</t>
  </si>
  <si>
    <t>1 - 2 Y</t>
  </si>
  <si>
    <t>2 - 3 Y</t>
  </si>
  <si>
    <t>3 - 4 Y</t>
  </si>
  <si>
    <t>4 - 5 Y</t>
  </si>
  <si>
    <t>5 - 10 Y</t>
  </si>
  <si>
    <t>10+ Y</t>
  </si>
  <si>
    <t>0 - 1 Y</t>
  </si>
  <si>
    <t>Owner occupied</t>
  </si>
  <si>
    <t>Amortising</t>
  </si>
  <si>
    <t>Germany</t>
  </si>
  <si>
    <t>Spain</t>
  </si>
  <si>
    <t>Fixed coupon</t>
  </si>
  <si>
    <t>Floating coupon</t>
  </si>
  <si>
    <t>≥  12 - ≤ 24 months</t>
  </si>
  <si>
    <t>≥ 24 - ≤ 36 months</t>
  </si>
  <si>
    <t>≥ 36 - ≤ 60 months</t>
  </si>
  <si>
    <t>≥ 60 months</t>
  </si>
  <si>
    <t xml:space="preserve"> USD</t>
  </si>
  <si>
    <t xml:space="preserve"> CHF</t>
  </si>
  <si>
    <t xml:space="preserve"> AUD</t>
  </si>
  <si>
    <t xml:space="preserve"> CAD</t>
  </si>
  <si>
    <t>Legal</t>
  </si>
  <si>
    <t>Actual</t>
  </si>
  <si>
    <t>Retail</t>
  </si>
  <si>
    <t>Office</t>
  </si>
  <si>
    <t>Shopping malls</t>
  </si>
  <si>
    <t>Land</t>
  </si>
  <si>
    <t>Mortgages</t>
  </si>
  <si>
    <t>Fixed rate</t>
  </si>
  <si>
    <t>Floating rate</t>
  </si>
  <si>
    <t>1st lien</t>
  </si>
  <si>
    <t>Guaranteed</t>
  </si>
  <si>
    <t>Bullet / interest only</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</si>
  <si>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</si>
  <si>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</si>
  <si>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</si>
  <si>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</si>
  <si>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</si>
  <si>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</si>
  <si>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</si>
  <si>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</si>
  <si>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</si>
  <si>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</si>
  <si>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</si>
  <si>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</si>
  <si>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</si>
  <si>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</si>
  <si>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</si>
  <si>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</si>
  <si>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[For completion]</t>
  </si>
  <si>
    <t>EUR</t>
  </si>
  <si>
    <t>% Covered Bonds</t>
  </si>
  <si>
    <t>Number of Loans</t>
  </si>
  <si>
    <t>1. Basic Facts</t>
  </si>
  <si>
    <t>2. Regulatory Summary</t>
  </si>
  <si>
    <t>3. General Cover Pool / Covered Bond Information</t>
  </si>
  <si>
    <t>Up to 12months</t>
  </si>
  <si>
    <t>[Insert Definition Below]</t>
  </si>
  <si>
    <t>Interest Rate Types</t>
  </si>
  <si>
    <t>The definitions below reflect the national specificities</t>
  </si>
  <si>
    <t>Other definitions deemed relevant</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</si>
  <si>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</si>
  <si>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</si>
  <si>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</si>
  <si>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</si>
  <si>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</si>
  <si>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</si>
  <si>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</si>
  <si>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</si>
  <si>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</si>
  <si>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</si>
  <si>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</si>
  <si>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</si>
  <si>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</si>
  <si>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</si>
  <si>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</si>
  <si>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</si>
  <si>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</si>
  <si>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</si>
  <si>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</si>
  <si>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</si>
  <si>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</si>
  <si>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</si>
  <si>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</si>
  <si>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</si>
  <si>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</si>
  <si>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</si>
  <si>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</si>
  <si>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</si>
  <si>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</si>
  <si>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</si>
  <si>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</si>
  <si>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</si>
  <si>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</si>
  <si>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</si>
  <si>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</si>
  <si>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</si>
  <si>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</si>
  <si>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</si>
  <si>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</si>
  <si>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</si>
  <si>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</si>
  <si>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</si>
  <si>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</si>
  <si>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</si>
  <si>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</si>
  <si>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</si>
  <si>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</si>
  <si>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</si>
  <si>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</si>
  <si>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</si>
  <si>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</si>
  <si>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</si>
  <si>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</si>
  <si>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</si>
  <si>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</si>
  <si>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</si>
  <si>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</si>
  <si>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</si>
  <si>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</si>
  <si>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</si>
  <si>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</si>
  <si>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</si>
  <si>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</si>
  <si>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Minimum Committed</t>
  </si>
  <si>
    <t>Exposure to credit institute credit quality step 1 &amp; 2</t>
  </si>
  <si>
    <t>Exposures to credit institutions</t>
  </si>
  <si>
    <t>Cover Pool Size</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</si>
  <si>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</si>
  <si>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</si>
  <si>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</si>
  <si>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</si>
  <si>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</si>
  <si>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</si>
  <si>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</si>
  <si>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</si>
  <si>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</si>
  <si>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</si>
  <si>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</si>
  <si>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</si>
  <si>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</si>
  <si>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</si>
  <si>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</si>
  <si>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</si>
  <si>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</si>
  <si>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</si>
  <si>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</si>
  <si>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</si>
  <si>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</si>
  <si>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</si>
  <si>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</si>
  <si>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</si>
  <si>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</si>
  <si>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</si>
  <si>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</si>
  <si>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</si>
  <si>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</si>
  <si>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</si>
  <si>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</si>
  <si>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</si>
  <si>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</si>
  <si>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</si>
  <si>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</si>
  <si>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</si>
  <si>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</si>
  <si>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</si>
  <si>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</si>
  <si>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</si>
  <si>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</si>
  <si>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</si>
  <si>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</si>
  <si>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</si>
  <si>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</si>
  <si>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</si>
  <si>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</si>
  <si>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</si>
  <si>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</si>
  <si>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</si>
  <si>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</si>
  <si>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</si>
  <si>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</si>
  <si>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</si>
  <si>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</si>
  <si>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</si>
  <si>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</si>
  <si>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</si>
  <si>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</si>
  <si>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</si>
  <si>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</si>
  <si>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</si>
  <si>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</si>
  <si>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 xml:space="preserve">Interest Rate Swap Provider </t>
  </si>
  <si>
    <t xml:space="preserve">Covered Bond Swap Provider </t>
  </si>
  <si>
    <t>Paying Agent</t>
  </si>
  <si>
    <t>Stand-by Account Bank</t>
  </si>
  <si>
    <t>Exposures to central banks</t>
  </si>
  <si>
    <t>Exposures to/guaranteed by governments or quasi governments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</si>
  <si>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</si>
  <si>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</si>
  <si>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</si>
  <si>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</si>
  <si>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</si>
  <si>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</si>
  <si>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</si>
  <si>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</si>
  <si>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</si>
  <si>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</si>
  <si>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t>
  </si>
  <si>
    <t xml:space="preserve">4. References to Capital Requirements Regulation (CRR) 129(7) </t>
  </si>
  <si>
    <t>4. References to Capital Requirements Regulation (CRR) 129(7)</t>
  </si>
  <si>
    <t>5. References to Capital Requirements Regulation (CRR) 129(1)</t>
  </si>
  <si>
    <t>6. Other relevant information</t>
  </si>
  <si>
    <t>Optional information e.g. Asset Coverage Test (ACT)</t>
  </si>
  <si>
    <t>Optional information e.g. OC (NPV basis)</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</si>
  <si>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</si>
  <si>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</si>
  <si>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</si>
  <si>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</si>
  <si>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</si>
  <si>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</si>
  <si>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</si>
  <si>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</si>
  <si>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</si>
  <si>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</si>
  <si>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A. Harmonised Transparency Template - General Information</t>
  </si>
  <si>
    <t>(Please refer to "Tab D. HTT Harmonised Glossary" for hedging strategy)</t>
  </si>
  <si>
    <t>Worksheet A: HTT General</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</si>
  <si>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</si>
  <si>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</si>
  <si>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</si>
  <si>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</si>
  <si>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</si>
  <si>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</si>
  <si>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</si>
  <si>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</si>
  <si>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OC Calculation: Actual</t>
  </si>
  <si>
    <t>OC Calculation: Legal minimum</t>
  </si>
  <si>
    <t>OC Calculation: Committed</t>
  </si>
  <si>
    <t>LTVs: Frequency and time of last valuation</t>
  </si>
  <si>
    <t>LTVs: Definition</t>
  </si>
  <si>
    <t>% Public Sector Assets</t>
  </si>
  <si>
    <t>By LTV buckets (mn):</t>
  </si>
  <si>
    <t>Derivatives in the cover pool [notional] (mn)</t>
  </si>
  <si>
    <t>Derivatives outside the cover pool [notional] (mn)</t>
  </si>
  <si>
    <t>NPV of Derivatives in the cover pool (mn)</t>
  </si>
  <si>
    <t>NPV of Derivatives outside the cover pool (mn)</t>
  </si>
  <si>
    <t>Maturity Buckets of Cover assets [i.e. how is the contractual and/or expected maturity defined? What assumptions eg, in terms of prepayments? etc.]</t>
  </si>
  <si>
    <t xml:space="preserve">Maturity Buckets of Covered Bonds [i.e. how is the contractual and/or expected maturity defined? What maturity structure (hard bullet, soft bullet, conditional pass through)? Under what conditions/circumstances? Etc.] </t>
  </si>
  <si>
    <t>NPV Test (passed/failed)</t>
  </si>
  <si>
    <t>Interest Covereage Test (passe/failed)</t>
  </si>
  <si>
    <t>C. Harmonised Transparency Template - Glossary</t>
  </si>
  <si>
    <t>Worksheet B1: HTT Mortgage Assets</t>
  </si>
  <si>
    <t>Worksheet C: HTT Harmonised Glossary</t>
  </si>
  <si>
    <t>B1. Harmonised Transparency Template - Mortgage Assets</t>
  </si>
  <si>
    <t>CONTENT OF TAB B1</t>
  </si>
  <si>
    <t>% Shipping Loans</t>
  </si>
  <si>
    <t>LTVs: Calculation of property/shipping value</t>
  </si>
  <si>
    <t>LTVs: Applied property/shipping valuation techniques, including whether use of index, Automated Valuation Model (AVM) or on-site audits</t>
  </si>
  <si>
    <t>Explain how mortgage types are defined whether for residential housing, multi-family housing, commercial real estate, etc. Same for shipping where relecvant</t>
  </si>
  <si>
    <t>Cash</t>
  </si>
  <si>
    <t>Croatia</t>
  </si>
  <si>
    <t xml:space="preserve">            (ii)        Interest rate risk - cover pool:</t>
  </si>
  <si>
    <t>(ii)        Currency risk - cover pool:</t>
  </si>
  <si>
    <t>Netherlands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</si>
  <si>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</si>
  <si>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</si>
  <si>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</si>
  <si>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</si>
  <si>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</si>
  <si>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Avenue de Cortenbergh 71, B-1000, Brussels,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</si>
  <si>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</si>
  <si>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</si>
  <si>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</si>
  <si>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</si>
  <si>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</si>
  <si>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</si>
  <si>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</si>
  <si>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</si>
  <si>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</si>
  <si>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</si>
  <si>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</si>
  <si>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</si>
  <si>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</si>
  <si>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</si>
  <si>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</si>
  <si>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</si>
  <si>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</si>
  <si>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</si>
  <si>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</si>
  <si>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</si>
  <si>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</si>
  <si>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</si>
  <si>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</si>
  <si>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</si>
  <si>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</si>
  <si>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</si>
  <si>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</si>
  <si>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</si>
  <si>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</si>
  <si>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</si>
  <si>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</si>
  <si>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</si>
  <si>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</si>
  <si>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</si>
  <si>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</si>
  <si>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</si>
  <si>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</si>
  <si>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</si>
  <si>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</si>
  <si>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</si>
  <si>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</si>
  <si>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</si>
  <si>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</si>
  <si>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</si>
  <si>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</si>
  <si>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</si>
  <si>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</si>
  <si>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</si>
  <si>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</si>
  <si>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</si>
  <si>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</si>
  <si>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</si>
  <si>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</si>
  <si>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</si>
  <si>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</si>
  <si>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</si>
  <si>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</si>
  <si>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</si>
  <si>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</si>
  <si>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</si>
  <si>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</si>
  <si>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</si>
  <si>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</si>
  <si>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</si>
  <si>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</si>
  <si>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</si>
  <si>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</si>
  <si>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</si>
  <si>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</si>
  <si>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</si>
  <si>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</si>
  <si>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</si>
  <si>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</si>
  <si>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</si>
  <si>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</si>
  <si>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</si>
  <si>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</si>
  <si>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</si>
  <si>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</si>
  <si>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</si>
  <si>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</si>
  <si>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</si>
  <si>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</si>
  <si>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</si>
  <si>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</si>
  <si>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</si>
  <si>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</si>
  <si>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</si>
  <si>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</si>
  <si>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</si>
  <si>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</si>
  <si>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</si>
  <si>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</si>
  <si>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</si>
  <si>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</si>
  <si>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</si>
  <si>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</si>
  <si>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</si>
  <si>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</si>
  <si>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</si>
  <si>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</si>
  <si>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</si>
  <si>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</si>
  <si>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</si>
  <si>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</si>
  <si>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</si>
  <si>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</si>
  <si>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</si>
  <si>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</si>
  <si>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</si>
  <si>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</si>
  <si>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</si>
  <si>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</si>
  <si>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</si>
  <si>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</si>
  <si>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</si>
  <si>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</si>
  <si>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</si>
  <si>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</si>
  <si>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</si>
  <si>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</si>
  <si>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</si>
  <si>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</si>
  <si>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</si>
  <si>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</si>
  <si>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</si>
  <si>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</si>
  <si>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</si>
  <si>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</si>
  <si>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</si>
  <si>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</si>
  <si>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</si>
  <si>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</si>
  <si>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</si>
  <si>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</si>
  <si>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</si>
  <si>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</si>
  <si>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</si>
  <si>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</si>
  <si>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</si>
  <si>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</si>
  <si>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</si>
  <si>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</si>
  <si>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</si>
  <si>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</si>
  <si>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</si>
  <si>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</si>
  <si>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</si>
  <si>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</si>
  <si>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the Daily Manager, Avenue de Cortenbergh 71, B-1000, Brussels,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</si>
  <si>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</si>
  <si>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</si>
  <si>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</si>
  <si>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</si>
  <si>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</si>
  <si>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</si>
  <si>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</si>
  <si>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</si>
  <si>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</si>
  <si>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</si>
  <si>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</si>
  <si>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</si>
  <si>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</si>
  <si>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</si>
  <si>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</si>
  <si>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</si>
  <si>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</si>
  <si>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</si>
  <si>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</si>
  <si>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</si>
  <si>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</si>
  <si>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</si>
  <si>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</si>
  <si>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</si>
  <si>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</si>
  <si>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</si>
  <si>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</si>
  <si>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</si>
  <si>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</si>
  <si>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</si>
  <si>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</si>
  <si>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</si>
  <si>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</si>
  <si>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</si>
  <si>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</si>
  <si>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</si>
  <si>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</si>
  <si>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</si>
  <si>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</si>
  <si>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</si>
  <si>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</si>
  <si>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</si>
  <si>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</si>
  <si>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</si>
  <si>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</si>
  <si>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</si>
  <si>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</si>
  <si>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</si>
  <si>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</si>
  <si>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</si>
  <si>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</si>
  <si>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</si>
  <si>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</si>
  <si>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</si>
  <si>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</si>
  <si>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</si>
  <si>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</si>
  <si>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</si>
  <si>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</si>
  <si>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</si>
  <si>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</si>
  <si>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</si>
  <si>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</si>
  <si>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</si>
  <si>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</si>
  <si>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</si>
  <si>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</si>
  <si>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</si>
  <si>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</si>
  <si>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</si>
  <si>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</si>
  <si>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</si>
  <si>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</si>
  <si>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</si>
  <si>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</si>
  <si>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</si>
  <si>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</si>
  <si>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</si>
  <si>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</si>
  <si>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</si>
  <si>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</si>
  <si>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</si>
  <si>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</si>
  <si>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</si>
  <si>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</si>
  <si>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</si>
  <si>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</si>
  <si>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</si>
  <si>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</si>
  <si>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</si>
  <si>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</si>
  <si>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</si>
  <si>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</si>
  <si>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</si>
  <si>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</si>
  <si>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</si>
  <si>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</si>
  <si>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</si>
  <si>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</si>
  <si>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</si>
  <si>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</si>
  <si>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G.3.7.1</t>
  </si>
  <si>
    <t>G.3.7.2</t>
  </si>
  <si>
    <t>G.3.7.3</t>
  </si>
  <si>
    <t>G.3.7.4</t>
  </si>
  <si>
    <t>G.3.7.5</t>
  </si>
  <si>
    <t>G.3.7.6</t>
  </si>
  <si>
    <t>G.3.7.7</t>
  </si>
  <si>
    <t>G.3.7.8</t>
  </si>
  <si>
    <t>G.3.7.9</t>
  </si>
  <si>
    <t>G.3.7.10</t>
  </si>
  <si>
    <t>G.3.7.11</t>
  </si>
  <si>
    <t>G.3.7.12</t>
  </si>
  <si>
    <t>G.3.7.13</t>
  </si>
  <si>
    <t>G.3.7.14</t>
  </si>
  <si>
    <t>G.3.7.15</t>
  </si>
  <si>
    <t>G.3.7.16</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</si>
  <si>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</si>
  <si>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</si>
  <si>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</si>
  <si>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</si>
  <si>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</si>
  <si>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</si>
  <si>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</si>
  <si>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</si>
  <si>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</si>
  <si>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</si>
  <si>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</si>
  <si>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</si>
  <si>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</si>
  <si>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</si>
  <si>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</si>
  <si>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</si>
  <si>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</si>
  <si>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</si>
  <si>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</si>
  <si>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</si>
  <si>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</si>
  <si>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</si>
  <si>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</si>
  <si>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</si>
  <si>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</si>
  <si>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</si>
  <si>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</si>
  <si>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</si>
  <si>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</si>
  <si>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</si>
  <si>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</si>
  <si>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</si>
  <si>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</si>
  <si>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</si>
  <si>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</si>
  <si>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</si>
  <si>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</si>
  <si>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</si>
  <si>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</si>
  <si>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</si>
  <si>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</si>
  <si>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</si>
  <si>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</si>
  <si>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G.3.11.1</t>
  </si>
  <si>
    <t>G.3.11.2</t>
  </si>
  <si>
    <t>G.3.11.3</t>
  </si>
  <si>
    <t>G.3.11.4</t>
  </si>
  <si>
    <t>G.3.12.1</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</si>
  <si>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</si>
  <si>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</si>
  <si>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</si>
  <si>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</si>
  <si>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</si>
  <si>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</si>
  <si>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</si>
  <si>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</si>
  <si>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</si>
  <si>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</si>
  <si>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</si>
  <si>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</si>
  <si>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</si>
  <si>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</si>
  <si>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</si>
  <si>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</si>
  <si>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</si>
  <si>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</si>
  <si>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</si>
  <si>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</si>
  <si>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</si>
  <si>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</si>
  <si>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</si>
  <si>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</si>
  <si>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</si>
  <si>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</si>
  <si>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</si>
  <si>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</si>
  <si>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</si>
  <si>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</si>
  <si>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</si>
  <si>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</si>
  <si>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</si>
  <si>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</si>
  <si>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</si>
  <si>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</si>
  <si>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</si>
  <si>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</si>
  <si>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</si>
  <si>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</si>
  <si>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</si>
  <si>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</si>
  <si>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</si>
  <si>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</si>
  <si>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</si>
  <si>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</si>
  <si>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</si>
  <si>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</si>
  <si>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</si>
  <si>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</si>
  <si>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</si>
  <si>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</si>
  <si>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</si>
  <si>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</si>
  <si>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</si>
  <si>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</si>
  <si>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</si>
  <si>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</si>
  <si>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</si>
  <si>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</si>
  <si>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</si>
  <si>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</si>
  <si>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</si>
  <si>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</si>
  <si>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</si>
  <si>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</si>
  <si>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</si>
  <si>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</si>
  <si>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</si>
  <si>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</si>
  <si>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</si>
  <si>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</si>
  <si>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</si>
  <si>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</si>
  <si>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</si>
  <si>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</si>
  <si>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</si>
  <si>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</si>
  <si>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</si>
  <si>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</si>
  <si>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</si>
  <si>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</si>
  <si>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</si>
  <si>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</si>
  <si>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</si>
  <si>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</si>
  <si>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</si>
  <si>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</si>
  <si>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</si>
  <si>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</si>
  <si>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</si>
  <si>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</si>
  <si>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</si>
  <si>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</si>
  <si>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</si>
  <si>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</si>
  <si>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</si>
  <si>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</si>
  <si>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</si>
  <si>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</si>
  <si>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</si>
  <si>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</si>
  <si>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</si>
  <si>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</si>
  <si>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</si>
  <si>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</si>
  <si>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</si>
  <si>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</si>
  <si>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</si>
  <si>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</si>
  <si>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</si>
  <si>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</si>
  <si>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</si>
  <si>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</si>
  <si>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</si>
  <si>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</si>
  <si>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</si>
  <si>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</si>
  <si>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</si>
  <si>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</si>
  <si>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</si>
  <si>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</si>
  <si>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</si>
  <si>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</si>
  <si>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</si>
  <si>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</si>
  <si>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</si>
  <si>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</si>
  <si>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</si>
  <si>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</si>
  <si>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</si>
  <si>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</si>
  <si>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</si>
  <si>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</si>
  <si>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</si>
  <si>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</si>
  <si>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</si>
  <si>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</si>
  <si>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</si>
  <si>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</si>
  <si>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</si>
  <si>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</si>
  <si>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</si>
  <si>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</si>
  <si>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</si>
  <si>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</si>
  <si>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</si>
  <si>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</si>
  <si>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</si>
  <si>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</si>
  <si>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</si>
  <si>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</si>
  <si>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</si>
  <si>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</si>
  <si>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</si>
  <si>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</si>
  <si>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</si>
  <si>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</si>
  <si>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</si>
  <si>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</si>
  <si>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</si>
  <si>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</si>
  <si>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</si>
  <si>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</si>
  <si>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</si>
  <si>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</si>
  <si>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</si>
  <si>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</si>
  <si>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</si>
  <si>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</si>
  <si>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</si>
  <si>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</si>
  <si>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</si>
  <si>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</si>
  <si>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</si>
  <si>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</si>
  <si>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</si>
  <si>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</si>
  <si>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</si>
  <si>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</si>
  <si>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M.7.5.1</t>
  </si>
  <si>
    <t>M.7.5.2</t>
  </si>
  <si>
    <t>M.7.5.3</t>
  </si>
  <si>
    <t>M.7.5.4</t>
  </si>
  <si>
    <t>M.7.5.5</t>
  </si>
  <si>
    <t>M.7.5.6</t>
  </si>
  <si>
    <t>M.7.5.7</t>
  </si>
  <si>
    <t>M.7.5.8</t>
  </si>
  <si>
    <t>M.7.5.9</t>
  </si>
  <si>
    <t>M.7.5.10</t>
  </si>
  <si>
    <t>M.7.5.11</t>
  </si>
  <si>
    <t>M.7.5.12</t>
  </si>
  <si>
    <t>M.7.5.13</t>
  </si>
  <si>
    <t>M.7.5.14</t>
  </si>
  <si>
    <t>M.7.5.15</t>
  </si>
  <si>
    <t>M.7.5.16</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</si>
  <si>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</si>
  <si>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</si>
  <si>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</si>
  <si>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</si>
  <si>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</si>
  <si>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</si>
  <si>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</si>
  <si>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</si>
  <si>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</si>
  <si>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</si>
  <si>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</si>
  <si>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</si>
  <si>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</si>
  <si>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</si>
  <si>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</si>
  <si>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</si>
  <si>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</si>
  <si>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</si>
  <si>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</si>
  <si>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</si>
  <si>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</si>
  <si>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</si>
  <si>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</si>
  <si>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</si>
  <si>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</si>
  <si>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</si>
  <si>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</si>
  <si>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</si>
  <si>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</si>
  <si>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</si>
  <si>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</si>
  <si>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</si>
  <si>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</si>
  <si>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</si>
  <si>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</si>
  <si>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</si>
  <si>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</si>
  <si>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</si>
  <si>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</si>
  <si>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</si>
  <si>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</si>
  <si>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</si>
  <si>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</si>
  <si>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</si>
  <si>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</si>
  <si>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</si>
  <si>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</si>
  <si>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</si>
  <si>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</si>
  <si>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</si>
  <si>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</si>
  <si>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</si>
  <si>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</si>
  <si>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</si>
  <si>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</si>
  <si>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</si>
  <si>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</si>
  <si>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</si>
  <si>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</si>
  <si>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</si>
  <si>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</si>
  <si>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</si>
  <si>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</si>
  <si>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</si>
  <si>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</si>
  <si>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</si>
  <si>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</si>
  <si>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</si>
  <si>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</si>
  <si>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</si>
  <si>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</si>
  <si>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</si>
  <si>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</si>
  <si>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</si>
  <si>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</si>
  <si>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</si>
  <si>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</si>
  <si>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</si>
  <si>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</si>
  <si>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</si>
  <si>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</si>
  <si>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</si>
  <si>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</si>
  <si>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</si>
  <si>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</si>
  <si>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</si>
  <si>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</si>
  <si>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</si>
  <si>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</si>
  <si>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</si>
  <si>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</si>
  <si>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</si>
  <si>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</si>
  <si>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</si>
  <si>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</si>
  <si>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</si>
  <si>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</si>
  <si>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</si>
  <si>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</si>
  <si>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</si>
  <si>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</si>
  <si>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</si>
  <si>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</si>
  <si>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</si>
  <si>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</si>
  <si>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</si>
  <si>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</si>
  <si>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</si>
  <si>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</si>
  <si>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</si>
  <si>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</si>
  <si>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</si>
  <si>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</si>
  <si>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</si>
  <si>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</si>
  <si>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</si>
  <si>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</si>
  <si>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</si>
  <si>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</si>
  <si>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</si>
  <si>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</si>
  <si>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</si>
  <si>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</si>
  <si>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</si>
  <si>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</si>
  <si>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</si>
  <si>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</si>
  <si>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</si>
  <si>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</si>
  <si>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</si>
  <si>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</si>
  <si>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</si>
  <si>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</si>
  <si>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</si>
  <si>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</si>
  <si>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</si>
  <si>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</si>
  <si>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</si>
  <si>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</si>
  <si>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</si>
  <si>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</si>
  <si>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</si>
  <si>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</si>
  <si>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</si>
  <si>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</si>
  <si>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</si>
  <si>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</si>
  <si>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</si>
  <si>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</si>
  <si>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</si>
  <si>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</si>
  <si>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</si>
  <si>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</si>
  <si>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</si>
  <si>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</si>
  <si>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</si>
  <si>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</si>
  <si>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</si>
  <si>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</si>
  <si>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</si>
  <si>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</si>
  <si>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</si>
  <si>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</si>
  <si>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</si>
  <si>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</si>
  <si>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</si>
  <si>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</si>
  <si>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</si>
  <si>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</si>
  <si>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</si>
  <si>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</si>
  <si>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</si>
  <si>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</si>
  <si>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</si>
  <si>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</si>
  <si>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</si>
  <si>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</si>
  <si>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</si>
  <si>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</si>
  <si>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</si>
  <si>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</si>
  <si>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</si>
  <si>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</si>
  <si>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</si>
  <si>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</si>
  <si>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</si>
  <si>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</si>
  <si>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</si>
  <si>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</si>
  <si>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</si>
  <si>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</si>
  <si>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</si>
  <si>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</si>
  <si>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</si>
  <si>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</si>
  <si>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</si>
  <si>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</si>
  <si>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</si>
  <si>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</si>
  <si>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</si>
  <si>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</si>
  <si>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</si>
  <si>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</si>
  <si>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1. General Information</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</si>
  <si>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</si>
  <si>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</si>
  <si>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</si>
  <si>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</si>
  <si>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</si>
  <si>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</si>
  <si>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</si>
  <si>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</si>
  <si>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</si>
  <si>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</si>
  <si>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</si>
  <si>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</si>
  <si>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</si>
  <si>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</si>
  <si>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</si>
  <si>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</si>
  <si>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</si>
  <si>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</si>
  <si>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</si>
  <si>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</si>
  <si>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</si>
  <si>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</si>
  <si>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</si>
  <si>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</si>
  <si>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</si>
  <si>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</si>
  <si>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</si>
  <si>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</si>
  <si>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</si>
  <si>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</si>
  <si>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</si>
  <si>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</si>
  <si>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</si>
  <si>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NOK</t>
  </si>
  <si>
    <t>Extended Maturity (mn)</t>
  </si>
  <si>
    <t>% Total Extended Maturity</t>
  </si>
  <si>
    <t>Contractual (mn)</t>
  </si>
  <si>
    <t>Expected Upon Prepayments (mn)</t>
  </si>
  <si>
    <t>% Total Contractual</t>
  </si>
  <si>
    <t>% Total Expected Upon Prepayments</t>
  </si>
  <si>
    <t>Initial Maturity  (mn)</t>
  </si>
  <si>
    <t xml:space="preserve">% Total Initial Maturity </t>
  </si>
  <si>
    <t>Buy-to-let/Non-owner occupied</t>
  </si>
  <si>
    <t>Polska</t>
  </si>
  <si>
    <t>mBank Hipoteczny S.A.</t>
  </si>
  <si>
    <t>Województwo dolnośląskie</t>
  </si>
  <si>
    <t>Województwo kujawsko-pomorskie</t>
  </si>
  <si>
    <t>Województwo lubelskie</t>
  </si>
  <si>
    <t>Województwo lubuskie</t>
  </si>
  <si>
    <t>Województwo łódzkie</t>
  </si>
  <si>
    <t>Województwo małopolskie</t>
  </si>
  <si>
    <t>Województwo mazowieckie</t>
  </si>
  <si>
    <t>Województwo opolskie</t>
  </si>
  <si>
    <t>Województwo podkarpackie</t>
  </si>
  <si>
    <t>Województwo podlaskie</t>
  </si>
  <si>
    <t>Województwo pomorskie</t>
  </si>
  <si>
    <t>Województwo śląskie</t>
  </si>
  <si>
    <t>Województwo świętokrzyskie</t>
  </si>
  <si>
    <t>Województwo warmińsko-mazurskie</t>
  </si>
  <si>
    <t>Województwo wielkopolskie</t>
  </si>
  <si>
    <t>Województwo zachodniopomorskie</t>
  </si>
  <si>
    <t>=&lt;250,000</t>
  </si>
  <si>
    <t>(500,000; 1,000,000]</t>
  </si>
  <si>
    <t>(250,000; 500,000]</t>
  </si>
  <si>
    <t>(1,000,000; 5,000,000]</t>
  </si>
  <si>
    <t>(5,000,000; 10,000,000]</t>
  </si>
  <si>
    <t>(10,000,000; 15,000,000]</t>
  </si>
  <si>
    <t>(15,000,000; 20,000,000]</t>
  </si>
  <si>
    <t>(20,000,000; 30,000,000]</t>
  </si>
  <si>
    <t>(30,000,000; 40,000,000]</t>
  </si>
  <si>
    <t>(40,000,000; 50,000,000]</t>
  </si>
  <si>
    <t>&gt;50,000,000</t>
  </si>
  <si>
    <t>PLN</t>
  </si>
  <si>
    <t>Annuity</t>
  </si>
  <si>
    <t>Annuity with baloon payment</t>
  </si>
  <si>
    <t>Domestic (Poland)</t>
  </si>
  <si>
    <t>https://mhipoteczny.pl/</t>
  </si>
  <si>
    <t>Annuity with principal grace period</t>
  </si>
  <si>
    <t>OG.3.3.1</t>
  </si>
  <si>
    <t>OG.3.3.2</t>
  </si>
  <si>
    <t>OG.3.3.3</t>
  </si>
  <si>
    <t>OG.3.3.4</t>
  </si>
  <si>
    <t>OG.3.3.5</t>
  </si>
  <si>
    <t>OG.3.3.6</t>
  </si>
  <si>
    <t>OG.3.6.1</t>
  </si>
  <si>
    <t>OG.3.6.2</t>
  </si>
  <si>
    <t>OG.3.6.3</t>
  </si>
  <si>
    <t>OG.3.6.4</t>
  </si>
  <si>
    <t>OG.3.6.5</t>
  </si>
  <si>
    <t>OG.3.6.6</t>
  </si>
  <si>
    <t>OG.3.6.7</t>
  </si>
  <si>
    <t>OG.3.6.8</t>
  </si>
  <si>
    <t>OG.3.6.9</t>
  </si>
  <si>
    <t>OG.3.7.1</t>
  </si>
  <si>
    <t>OG.3.7.2</t>
  </si>
  <si>
    <t>OG.3.7.3</t>
  </si>
  <si>
    <t>OG.3.7.4</t>
  </si>
  <si>
    <t>OG.3.7.5</t>
  </si>
  <si>
    <t>OG.3.7.6</t>
  </si>
  <si>
    <t>OG.3.7.7</t>
  </si>
  <si>
    <t>OG.3.7.8</t>
  </si>
  <si>
    <t>OG.3.7.9</t>
  </si>
  <si>
    <t>OG.3.11.1</t>
  </si>
  <si>
    <t>OG.3.11.2</t>
  </si>
  <si>
    <t>OG.3.11.3</t>
  </si>
  <si>
    <t>OG.3.11.4</t>
  </si>
  <si>
    <t>OG.3.11.5</t>
  </si>
  <si>
    <t>OG.3.11.6</t>
  </si>
  <si>
    <t>OG.3.11.7</t>
  </si>
  <si>
    <t>OG.3.10.1</t>
  </si>
  <si>
    <t>OG.3.10.2</t>
  </si>
  <si>
    <t>OG.3.10.3</t>
  </si>
  <si>
    <t>OG.3.10.4</t>
  </si>
  <si>
    <t>OG.3.10.5</t>
  </si>
  <si>
    <t>OG.3.10.6</t>
  </si>
  <si>
    <t>OG.3.10.7</t>
  </si>
  <si>
    <t>OM.7.4.1</t>
  </si>
  <si>
    <t>OM.7.4.2</t>
  </si>
  <si>
    <t>OM.7.4.3</t>
  </si>
  <si>
    <t>OM.7.4.4</t>
  </si>
  <si>
    <t>OM.7.4.5</t>
  </si>
  <si>
    <t>OM.7.4.6</t>
  </si>
  <si>
    <t>OM.7.4.7</t>
  </si>
  <si>
    <t>OM.7.4.8</t>
  </si>
  <si>
    <t>OM.7.4.9</t>
  </si>
  <si>
    <t>OM.7.4.10</t>
  </si>
  <si>
    <t>31/03/18</t>
  </si>
  <si>
    <t>Cut-off Date: [31/03/18]</t>
  </si>
  <si>
    <t>Reporting Date: [30/05/18]</t>
  </si>
  <si>
    <t>Worksheet E. Optional ECB-ECAIs data</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</si>
  <si>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</si>
  <si>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</si>
  <si>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</si>
  <si>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</si>
  <si>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</si>
  <si>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</si>
  <si>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</si>
  <si>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</si>
  <si>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</si>
  <si>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</si>
  <si>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</si>
  <si>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</si>
  <si>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</si>
  <si>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</si>
  <si>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</si>
  <si>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</si>
  <si>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</si>
  <si>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</si>
  <si>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</si>
  <si>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</si>
  <si>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</si>
  <si>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</si>
  <si>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</si>
  <si>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</si>
  <si>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</si>
  <si>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</si>
  <si>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</si>
  <si>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</si>
  <si>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</si>
  <si>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</si>
  <si>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</si>
  <si>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</si>
  <si>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</si>
  <si>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</si>
  <si>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</si>
  <si>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</si>
  <si>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Piotr Czyżewski and Waldemar Nowak - Polish FSA</t>
  </si>
  <si>
    <t>OE.1.1.1</t>
  </si>
  <si>
    <t>OE.1.1.2</t>
  </si>
  <si>
    <t>OE.1.1.3</t>
  </si>
  <si>
    <t>OE.1.1.4</t>
  </si>
  <si>
    <t>OE.1.1.5</t>
  </si>
  <si>
    <t>OE.1.1.6</t>
  </si>
  <si>
    <t>OE.1.1.7</t>
  </si>
  <si>
    <t>OE.1.1.8</t>
  </si>
  <si>
    <t>Swap Counterparties</t>
  </si>
  <si>
    <t>Guarantor (if applicable)</t>
  </si>
  <si>
    <t>Type of Swap</t>
  </si>
  <si>
    <t>E.2.1.1</t>
  </si>
  <si>
    <t>Counterparty 1</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</si>
  <si>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</si>
  <si>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</si>
  <si>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</si>
  <si>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</si>
  <si>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</si>
  <si>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</si>
  <si>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</si>
  <si>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</si>
  <si>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</si>
  <si>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</si>
  <si>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</si>
  <si>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</si>
  <si>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</si>
  <si>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</si>
  <si>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</si>
  <si>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</si>
  <si>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</si>
  <si>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</si>
  <si>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</si>
  <si>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</si>
  <si>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</si>
  <si>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</si>
  <si>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</si>
  <si>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</si>
  <si>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</si>
  <si>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</si>
  <si>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</si>
  <si>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</si>
  <si>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</si>
  <si>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</si>
  <si>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</si>
  <si>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</si>
  <si>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</si>
  <si>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</si>
  <si>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</si>
  <si>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</si>
  <si>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</si>
  <si>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</si>
  <si>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</si>
  <si>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</si>
  <si>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</si>
  <si>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</si>
  <si>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</si>
  <si>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</si>
  <si>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</si>
  <si>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</si>
  <si>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</si>
  <si>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</si>
  <si>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</si>
  <si>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</si>
  <si>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</si>
  <si>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</si>
  <si>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</si>
  <si>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</si>
  <si>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</si>
  <si>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</si>
  <si>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</si>
  <si>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</si>
  <si>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</si>
  <si>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</si>
  <si>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</si>
  <si>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</si>
  <si>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</si>
  <si>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</si>
  <si>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</si>
  <si>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</si>
  <si>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</si>
  <si>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Maximum final maturity (months)</t>
  </si>
  <si>
    <t>OE.3.1.2</t>
  </si>
  <si>
    <t>OE.3.1.3</t>
  </si>
  <si>
    <t>OE.3.1.4</t>
  </si>
  <si>
    <t>2. Arrears</t>
  </si>
  <si>
    <t>% Total Loans</t>
  </si>
  <si>
    <t>E.3.2.1</t>
  </si>
  <si>
    <t>&lt;30 days</t>
  </si>
  <si>
    <t>E.3.2.2</t>
  </si>
  <si>
    <t>30-&lt;60 days</t>
  </si>
  <si>
    <t>E.3.2.3</t>
  </si>
  <si>
    <t>60-&lt;90 days</t>
  </si>
  <si>
    <t>E.3.2.4</t>
  </si>
  <si>
    <t>90-&lt;180 days</t>
  </si>
  <si>
    <t>E.3.2.5</t>
  </si>
  <si>
    <t>&gt;= 180 days</t>
  </si>
  <si>
    <t>OE.3.2.1</t>
  </si>
  <si>
    <t>OE.3.2.2</t>
  </si>
  <si>
    <t>OE.3.2.3</t>
  </si>
  <si>
    <t>OE.3.2.4</t>
  </si>
  <si>
    <t>Contact names</t>
  </si>
  <si>
    <t>Wojciech Zdunkiewicz
tel.: +48 515 163 187
mail: wojciech.zdunkiewicz@mhipoteczny.pl</t>
  </si>
  <si>
    <t>Immediate Parent</t>
  </si>
  <si>
    <t>mBank S.A.</t>
  </si>
  <si>
    <t>Ultimate Parent</t>
  </si>
  <si>
    <t>Commerzbank AG</t>
  </si>
  <si>
    <t>Fitch Issuer Default Rating (IDR)</t>
  </si>
  <si>
    <t>BBB outlook: stable</t>
  </si>
  <si>
    <t>Fitch Mortgage Covered Bonds Rating</t>
  </si>
  <si>
    <t>A outlook: positive</t>
  </si>
  <si>
    <t>Y</t>
  </si>
  <si>
    <t>CQS (credit quality steps)</t>
  </si>
  <si>
    <t>ECB repo eligibility</t>
  </si>
  <si>
    <t>NO</t>
  </si>
  <si>
    <t>National Bank of Poland repo eligibility</t>
  </si>
  <si>
    <t>YES - only PLN demoninated</t>
  </si>
  <si>
    <t>http://mhipoteczny.pl/relacje-inwestorskie/#tab-002</t>
  </si>
  <si>
    <t>o/w substitute assets</t>
  </si>
  <si>
    <t>o/w liquidity buffer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</si>
</sst>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 #,##0.00_ ;_ * \-#,##0.00_ ;_ * &quot;-&quot;??_ ;_ @_ "/>
    <numFmt numFmtId="165" formatCode="#,##0.00,,"/>
    <numFmt numFmtId="166" formatCode="#,##0,,"/>
  </numFmts>
  <fonts count="46" x14ac:knownFonts="1">
    <font>
      <sz val="11"/>
      <color theme="1"/>
      <name val="Calibri"/>
      <family val="2"/>
      <scheme val="minor"/>
    </font>
    <font>
      <sz val="11"/>
      <color theme="1"/>
      <name val="Calibri"/>
      <family val="2"/>
      <charset val="238"/>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b/>
      <sz val="10"/>
      <color theme="1"/>
      <name val="Calibri"/>
      <family val="2"/>
      <scheme val="minor"/>
    </font>
    <font>
      <i/>
      <sz val="11"/>
      <name val="Calibri"/>
      <family val="2"/>
      <charset val="238"/>
      <scheme val="minor"/>
    </font>
    <font>
      <sz val="10"/>
      <color rgb="FF6A8759"/>
      <name val="Courier New"/>
      <family val="3"/>
      <charset val="238"/>
    </font>
    <font>
      <b/>
      <sz val="11"/>
      <color rgb="FFFF0000"/>
      <name val="Calibri"/>
      <family val="2"/>
      <scheme val="minor"/>
    </font>
    <font>
      <i/>
      <sz val="11"/>
      <color rgb="FF0070C0"/>
      <name val="Calibri"/>
      <family val="2"/>
      <scheme val="minor"/>
    </font>
    <font>
      <sz val="11"/>
      <name val="Calibri"/>
      <family val="2"/>
      <charset val="238"/>
      <scheme val="minor"/>
    </font>
  </fonts>
  <fills count="7">
    <fill>
      <patternFill patternType="none"/>
    </fill>
    <fill>
      <patternFill patternType="gray125"/>
    </fill>
    <fill>
      <patternFill patternType="solid">
        <fgColor rgb="FFFFC000"/>
        <bgColor indexed="64"/>
      </patternFill>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s>
  <cellStyleXfs count="117">
    <xf numFmtId="0" fontId="0" fillId="0" borderId="0"/>
    <xf numFmtId="9" fontId="2" fillId="0" borderId="0" applyFont="0" applyFill="0" applyBorder="0" applyAlignment="0" applyProtection="0"/>
    <xf numFmtId="0" fontId="3" fillId="0" borderId="0"/>
    <xf numFmtId="0" fontId="3" fillId="0" borderId="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3" fillId="0" borderId="0">
      <alignment horizontal="left" wrapText="1"/>
    </xf>
    <xf numFmtId="164" fontId="2" fillId="0" borderId="0" applyFont="0" applyFill="0" applyBorder="0" applyAlignment="0" applyProtection="0"/>
    <xf numFmtId="0" fontId="3" fillId="0" borderId="0"/>
    <xf numFmtId="0" fontId="23" fillId="0" borderId="0"/>
    <xf numFmtId="0" fontId="24" fillId="0" borderId="0" applyNumberFormat="0" applyFill="0" applyBorder="0" applyAlignment="0" applyProtection="0"/>
  </cellStyleXfs>
  <cellXfs count="131">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9"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1" fillId="0" borderId="0" xfId="0" applyFont="1" applyFill="1" applyBorder="1" applyAlignment="1">
      <alignment horizontal="center" vertical="center" wrapText="1"/>
    </xf>
    <xf numFmtId="0" fontId="11" fillId="0" borderId="0" xfId="0" quotePrefix="1" applyFont="1" applyFill="1" applyBorder="1" applyAlignment="1">
      <alignment horizontal="center" vertical="center" wrapText="1"/>
    </xf>
    <xf numFmtId="0" fontId="0" fillId="0" borderId="0" xfId="0" applyFont="1"/>
    <xf numFmtId="0" fontId="9" fillId="2" borderId="0" xfId="0" quotePrefix="1" applyFont="1" applyFill="1" applyBorder="1" applyAlignment="1">
      <alignment horizontal="center" vertical="center" wrapText="1"/>
    </xf>
    <xf numFmtId="0" fontId="8"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4" fillId="0" borderId="0" xfId="0" applyFont="1" applyBorder="1" applyAlignment="1">
      <alignment horizontal="left" vertical="center"/>
    </xf>
    <xf numFmtId="0" fontId="13" fillId="0" borderId="1" xfId="0" applyFont="1" applyBorder="1"/>
    <xf numFmtId="0" fontId="13" fillId="0" borderId="2" xfId="0" applyFont="1" applyBorder="1"/>
    <xf numFmtId="0" fontId="13" fillId="0" borderId="3" xfId="0" applyFont="1" applyBorder="1"/>
    <xf numFmtId="0" fontId="13" fillId="0" borderId="4" xfId="0" applyFont="1" applyBorder="1"/>
    <xf numFmtId="0" fontId="13" fillId="0" borderId="0" xfId="0" applyFont="1" applyBorder="1"/>
    <xf numFmtId="0" fontId="13" fillId="0" borderId="5" xfId="0" applyFont="1" applyBorder="1"/>
    <xf numFmtId="0" fontId="15" fillId="0" borderId="0" xfId="0" applyFont="1" applyBorder="1" applyAlignment="1">
      <alignment horizontal="center"/>
    </xf>
    <xf numFmtId="0" fontId="14" fillId="0" borderId="0" xfId="0" applyFont="1" applyBorder="1" applyAlignment="1">
      <alignment horizontal="center" vertical="center"/>
    </xf>
    <xf numFmtId="17" fontId="16" fillId="0" borderId="0" xfId="0" applyNumberFormat="1" applyFont="1" applyBorder="1" applyAlignment="1">
      <alignment horizontal="center"/>
    </xf>
    <xf numFmtId="0" fontId="17" fillId="0" borderId="0" xfId="0" applyFont="1" applyBorder="1" applyAlignment="1">
      <alignment horizontal="center" vertical="center"/>
    </xf>
    <xf numFmtId="0" fontId="16" fillId="0" borderId="0" xfId="0" applyFont="1" applyBorder="1" applyAlignment="1">
      <alignment horizontal="center"/>
    </xf>
    <xf numFmtId="0" fontId="18" fillId="0" borderId="0" xfId="0" applyFont="1" applyBorder="1"/>
    <xf numFmtId="0" fontId="0" fillId="0" borderId="0" xfId="0" applyFont="1" applyAlignment="1"/>
    <xf numFmtId="0" fontId="13" fillId="0" borderId="6" xfId="0" applyFont="1" applyBorder="1"/>
    <xf numFmtId="0" fontId="13" fillId="0" borderId="7" xfId="0" applyFont="1" applyBorder="1"/>
    <xf numFmtId="0" fontId="13" fillId="0" borderId="8" xfId="0" applyFont="1" applyBorder="1"/>
    <xf numFmtId="0" fontId="9" fillId="0" borderId="0" xfId="0" applyFont="1" applyFill="1" applyBorder="1" applyAlignment="1">
      <alignment horizontal="right" vertical="center" wrapText="1"/>
    </xf>
    <xf numFmtId="0" fontId="11" fillId="5" borderId="0" xfId="0" applyFont="1" applyFill="1" applyBorder="1" applyAlignment="1">
      <alignment horizontal="center" vertical="center" wrapText="1"/>
    </xf>
    <xf numFmtId="0" fontId="7" fillId="5"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7" fillId="0" borderId="0"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2" fillId="0" borderId="0" xfId="0" applyFont="1" applyFill="1" applyBorder="1" applyAlignment="1">
      <alignment vertical="center" wrapText="1"/>
    </xf>
    <xf numFmtId="0" fontId="11" fillId="0" borderId="0" xfId="0" applyFont="1" applyFill="1" applyBorder="1" applyAlignment="1">
      <alignment horizontal="center" vertical="center" wrapText="1"/>
    </xf>
    <xf numFmtId="0" fontId="8" fillId="6" borderId="0" xfId="0" applyFont="1" applyFill="1" applyBorder="1" applyAlignment="1">
      <alignment horizontal="center" vertical="center" wrapText="1"/>
    </xf>
    <xf numFmtId="10" fontId="9" fillId="0" borderId="0" xfId="0" quotePrefix="1" applyNumberFormat="1" applyFont="1" applyFill="1" applyBorder="1" applyAlignment="1">
      <alignment horizontal="center" vertical="center" wrapText="1"/>
    </xf>
    <xf numFmtId="9" fontId="9" fillId="0" borderId="0" xfId="1" quotePrefix="1" applyFont="1" applyFill="1" applyBorder="1" applyAlignment="1">
      <alignment horizontal="center" vertical="center" wrapText="1"/>
    </xf>
    <xf numFmtId="0" fontId="22" fillId="0" borderId="0" xfId="0" applyFont="1" applyFill="1" applyBorder="1" applyAlignment="1">
      <alignment horizontal="center" vertical="center" wrapText="1"/>
    </xf>
    <xf numFmtId="0" fontId="0" fillId="0" borderId="0" xfId="0"/>
    <xf numFmtId="0" fontId="4"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0" xfId="0" quotePrefix="1" applyFont="1" applyFill="1" applyBorder="1" applyAlignment="1">
      <alignment horizontal="center" vertical="center" wrapText="1"/>
    </xf>
    <xf numFmtId="3" fontId="9" fillId="0" borderId="0" xfId="0" quotePrefix="1" applyNumberFormat="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9" fontId="9" fillId="0" borderId="0" xfId="1" applyFont="1" applyFill="1" applyBorder="1" applyAlignment="1">
      <alignment horizontal="center" vertical="center" wrapText="1"/>
    </xf>
    <xf numFmtId="0" fontId="11" fillId="6" borderId="0" xfId="0" applyFont="1" applyFill="1" applyBorder="1" applyAlignment="1">
      <alignment horizontal="center" vertical="center" wrapText="1"/>
    </xf>
    <xf numFmtId="0" fontId="7" fillId="6" borderId="0" xfId="0" applyFont="1" applyFill="1" applyBorder="1" applyAlignment="1">
      <alignment horizontal="center" vertical="center" wrapText="1"/>
    </xf>
    <xf numFmtId="0" fontId="19" fillId="6" borderId="0" xfId="0" quotePrefix="1" applyFont="1" applyFill="1" applyBorder="1" applyAlignment="1">
      <alignment horizontal="center" vertical="center" wrapText="1"/>
    </xf>
    <xf numFmtId="0" fontId="12" fillId="0" borderId="0" xfId="0" applyFont="1" applyFill="1" applyBorder="1" applyAlignment="1">
      <alignment horizontal="center" vertical="center" wrapText="1"/>
    </xf>
    <xf numFmtId="0" fontId="24" fillId="0" borderId="0" xfId="116" applyFill="1" applyBorder="1" applyAlignment="1">
      <alignment horizontal="center" vertical="center" wrapText="1"/>
    </xf>
    <xf numFmtId="0" fontId="0" fillId="0" borderId="0" xfId="0" applyFill="1"/>
    <xf numFmtId="0" fontId="26" fillId="0" borderId="0" xfId="116" quotePrefix="1" applyFont="1" applyFill="1" applyBorder="1" applyAlignment="1">
      <alignment horizontal="center" vertical="center" wrapText="1"/>
    </xf>
    <xf numFmtId="0" fontId="10" fillId="0" borderId="0" xfId="0" quotePrefix="1" applyFont="1" applyFill="1" applyBorder="1" applyAlignment="1">
      <alignment horizontal="right" vertical="center" wrapText="1"/>
    </xf>
    <xf numFmtId="0" fontId="24" fillId="0" borderId="0" xfId="116" quotePrefix="1" applyFill="1" applyBorder="1" applyAlignment="1">
      <alignment horizontal="center" vertical="center" wrapText="1"/>
    </xf>
    <xf numFmtId="0" fontId="22" fillId="0" borderId="0" xfId="0" applyFont="1" applyFill="1" applyBorder="1" applyAlignment="1">
      <alignment horizontal="right" vertical="center" wrapText="1"/>
    </xf>
    <xf numFmtId="0" fontId="22" fillId="0" borderId="0" xfId="0" quotePrefix="1" applyFont="1" applyFill="1" applyBorder="1" applyAlignment="1">
      <alignment horizontal="right" vertical="center" wrapText="1"/>
    </xf>
    <xf numFmtId="0" fontId="25" fillId="0" borderId="0" xfId="116" applyFont="1" applyAlignment="1"/>
    <xf numFmtId="0" fontId="27" fillId="0"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0" fillId="0" borderId="0" xfId="0" applyAlignment="1">
      <alignment horizontal="center"/>
    </xf>
    <xf numFmtId="0" fontId="24" fillId="0" borderId="9" xfId="116" applyFill="1" applyBorder="1" applyAlignment="1">
      <alignment horizontal="center" vertical="center" wrapText="1"/>
    </xf>
    <xf numFmtId="0" fontId="24" fillId="0" borderId="10" xfId="116" applyFill="1" applyBorder="1" applyAlignment="1">
      <alignment horizontal="center" vertical="center" wrapText="1"/>
    </xf>
    <xf numFmtId="0" fontId="24" fillId="0" borderId="10" xfId="116" quotePrefix="1" applyFill="1" applyBorder="1" applyAlignment="1">
      <alignment horizontal="right" vertical="center" wrapText="1"/>
    </xf>
    <xf numFmtId="0" fontId="24" fillId="0" borderId="10" xfId="116" quotePrefix="1" applyFill="1" applyBorder="1" applyAlignment="1">
      <alignment horizontal="center" vertical="center" wrapText="1"/>
    </xf>
    <xf numFmtId="0" fontId="24" fillId="0" borderId="11" xfId="116" quotePrefix="1" applyFill="1" applyBorder="1" applyAlignment="1">
      <alignment horizontal="center" vertical="center" wrapText="1"/>
    </xf>
    <xf numFmtId="0" fontId="0" fillId="0" borderId="0" xfId="0" applyFont="1" applyFill="1" applyBorder="1" applyAlignment="1">
      <alignment horizontal="left" vertical="center"/>
    </xf>
    <xf numFmtId="0" fontId="12" fillId="3" borderId="9" xfId="0" applyFont="1" applyFill="1" applyBorder="1" applyAlignment="1">
      <alignment horizontal="center" vertical="center" wrapText="1"/>
    </xf>
    <xf numFmtId="0" fontId="24" fillId="0" borderId="11" xfId="116" quotePrefix="1" applyFill="1" applyBorder="1" applyAlignment="1">
      <alignment horizontal="right" vertical="center" wrapText="1"/>
    </xf>
    <xf numFmtId="0" fontId="0" fillId="0" borderId="0" xfId="0" applyAlignment="1"/>
    <xf numFmtId="0" fontId="28" fillId="0" borderId="0" xfId="0" applyFont="1" applyBorder="1" applyAlignment="1">
      <alignment horizontal="center" vertical="center"/>
    </xf>
    <xf numFmtId="0" fontId="24" fillId="0" borderId="0" xfId="116" applyAlignment="1">
      <alignment horizontal="center"/>
    </xf>
    <xf numFmtId="0" fontId="0" fillId="0" borderId="0" xfId="0"/>
    <xf numFmtId="0" fontId="9" fillId="0" borderId="0" xfId="0" applyFont="1" applyFill="1" applyBorder="1" applyAlignment="1">
      <alignment horizontal="center" vertical="center" wrapText="1"/>
    </xf>
    <xf numFmtId="0" fontId="9" fillId="0" borderId="0" xfId="0" quotePrefix="1" applyFont="1" applyFill="1" applyBorder="1" applyAlignment="1">
      <alignment horizontal="center" vertical="center" wrapText="1"/>
    </xf>
    <xf numFmtId="0" fontId="0" fillId="0" borderId="0" xfId="0" applyFont="1"/>
    <xf numFmtId="0" fontId="19" fillId="0" borderId="0" xfId="0" quotePrefix="1" applyFont="1" applyFill="1" applyBorder="1" applyAlignment="1">
      <alignment horizontal="center" vertical="center" wrapText="1"/>
    </xf>
    <xf numFmtId="0" fontId="0" fillId="0" borderId="0" xfId="0" applyAlignment="1">
      <alignment horizontal="center"/>
    </xf>
    <xf numFmtId="0" fontId="9"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0" fillId="0" borderId="0" xfId="0" applyFill="1" applyAlignment="1">
      <alignment horizontal="center"/>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1" fillId="0" borderId="0" xfId="0" applyFont="1" applyAlignment="1">
      <alignment horizontal="center" vertical="center"/>
    </xf>
    <xf numFmtId="0" fontId="32" fillId="0" borderId="0" xfId="0" applyFont="1" applyAlignment="1">
      <alignment vertical="center" wrapText="1"/>
    </xf>
    <xf numFmtId="0" fontId="33" fillId="0" borderId="0" xfId="0" applyFont="1" applyAlignment="1">
      <alignment horizontal="left" vertical="center" wrapText="1"/>
    </xf>
    <xf numFmtId="0" fontId="34" fillId="0" borderId="0" xfId="0" applyFont="1" applyAlignment="1">
      <alignment wrapText="1"/>
    </xf>
    <xf numFmtId="0" fontId="32" fillId="0" borderId="0" xfId="0" applyFont="1" applyAlignment="1">
      <alignment horizontal="left" vertical="center" wrapText="1"/>
    </xf>
    <xf numFmtId="0" fontId="36" fillId="0" borderId="0" xfId="0" applyFont="1" applyAlignment="1">
      <alignment vertical="center" wrapText="1"/>
    </xf>
    <xf numFmtId="0" fontId="37" fillId="0" borderId="0" xfId="0" applyFont="1" applyAlignment="1">
      <alignment horizontal="left" vertical="center" wrapText="1"/>
    </xf>
    <xf numFmtId="0" fontId="37" fillId="0" borderId="0" xfId="0" applyFont="1" applyAlignment="1">
      <alignment wrapText="1"/>
    </xf>
    <xf numFmtId="0" fontId="34" fillId="0" borderId="0" xfId="0" applyFont="1" applyAlignment="1">
      <alignment vertical="center" wrapText="1"/>
    </xf>
    <xf numFmtId="0" fontId="38" fillId="0" borderId="0" xfId="0" applyFont="1" applyAlignment="1">
      <alignment vertical="center" wrapText="1"/>
    </xf>
    <xf numFmtId="0" fontId="37" fillId="0" borderId="0" xfId="0" applyFont="1" applyAlignment="1">
      <alignment vertical="center" wrapText="1"/>
    </xf>
    <xf numFmtId="0" fontId="40" fillId="6"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41" fillId="0" borderId="0" xfId="0" applyFont="1" applyFill="1" applyBorder="1" applyAlignment="1">
      <alignment horizontal="center" vertical="center" wrapText="1"/>
    </xf>
    <xf numFmtId="0" fontId="42" fillId="0" borderId="0" xfId="0" applyFont="1" applyAlignment="1">
      <alignment vertical="center"/>
    </xf>
    <xf numFmtId="165" fontId="9" fillId="0" borderId="0" xfId="0" applyNumberFormat="1" applyFont="1" applyFill="1" applyBorder="1" applyAlignment="1">
      <alignment horizontal="center" vertical="center" wrapText="1"/>
    </xf>
    <xf numFmtId="165" fontId="9" fillId="0" borderId="0" xfId="0" quotePrefix="1"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165" fontId="4" fillId="0" borderId="0" xfId="0" applyNumberFormat="1" applyFont="1" applyFill="1" applyBorder="1" applyAlignment="1">
      <alignment horizontal="center" vertical="center" wrapText="1"/>
    </xf>
    <xf numFmtId="166" fontId="9" fillId="0" borderId="0" xfId="0" applyNumberFormat="1" applyFont="1" applyFill="1" applyBorder="1" applyAlignment="1">
      <alignment horizontal="center" vertical="center" wrapText="1"/>
    </xf>
    <xf numFmtId="10" fontId="27" fillId="0" borderId="0" xfId="0" quotePrefix="1" applyNumberFormat="1" applyFont="1" applyFill="1" applyBorder="1" applyAlignment="1">
      <alignment horizontal="center" vertical="center" wrapText="1"/>
    </xf>
    <xf numFmtId="2" fontId="9" fillId="0" borderId="0" xfId="0" applyNumberFormat="1" applyFont="1" applyFill="1" applyBorder="1" applyAlignment="1">
      <alignment horizontal="center" vertical="center" wrapText="1"/>
    </xf>
    <xf numFmtId="0" fontId="1" fillId="0" borderId="0" xfId="0" applyFont="1" applyBorder="1" applyAlignment="1">
      <alignment horizontal="center"/>
    </xf>
    <xf numFmtId="0" fontId="25" fillId="0" borderId="0" xfId="116" applyFont="1" applyAlignment="1"/>
    <xf numFmtId="0" fontId="11" fillId="0" borderId="0" xfId="0" quotePrefix="1" applyFont="1" applyFill="1" applyBorder="1" applyAlignment="1">
      <alignment horizontal="left" vertical="center" wrapText="1"/>
    </xf>
    <xf numFmtId="0" fontId="11" fillId="0" borderId="0" xfId="0" applyFont="1" applyFill="1" applyBorder="1" applyAlignment="1">
      <alignment horizontal="left" vertical="center" wrapText="1"/>
    </xf>
    <xf numFmtId="14" fontId="44" fillId="0" borderId="0" xfId="0" applyNumberFormat="1" applyFont="1" applyFill="1" applyBorder="1" applyAlignment="1">
      <alignment horizontal="center" vertical="center" wrapText="1"/>
    </xf>
    <xf numFmtId="10" fontId="45" fillId="0" borderId="0" xfId="1" applyNumberFormat="1" applyFont="1" applyFill="1" applyBorder="1" applyAlignment="1">
      <alignment horizontal="center" vertical="center" wrapText="1"/>
    </xf>
    <xf numFmtId="0" fontId="45" fillId="0" borderId="0" xfId="0" applyFont="1" applyFill="1" applyBorder="1" applyAlignment="1">
      <alignment horizontal="center" vertical="center" wrapText="1"/>
    </xf>
    <xf numFmtId="4" fontId="9" fillId="0" borderId="0" xfId="0" applyNumberFormat="1" applyFont="1" applyFill="1" applyBorder="1" applyAlignment="1">
      <alignment horizontal="center" vertical="center" wrapText="1"/>
    </xf>
    <xf numFmtId="0" fontId="25" fillId="3" borderId="0" xfId="116" applyFont="1" applyFill="1" applyBorder="1" applyAlignment="1">
      <alignment horizontal="center"/>
    </xf>
    <xf numFmtId="0" fontId="25" fillId="0" borderId="0" xfId="116" applyFont="1" applyAlignment="1"/>
    <xf numFmtId="0" fontId="43" fillId="0" borderId="0" xfId="0" applyFont="1" applyFill="1" applyBorder="1" applyAlignment="1">
      <alignment horizontal="left" vertical="center" wrapText="1"/>
    </xf>
  </cellXfs>
  <cellStyles count="117">
    <cellStyle name="Comma 2" xfId="113"/>
    <cellStyle name="Hiperłącze" xfId="116" builtinId="8"/>
    <cellStyle name="Normal 2" xfId="114"/>
    <cellStyle name="Normal 3" xfId="3"/>
    <cellStyle name="Normal 4" xfId="2"/>
    <cellStyle name="Normal 7" xfId="115"/>
    <cellStyle name="Normalny" xfId="0" builtinId="0"/>
    <cellStyle name="Odwiedzone hiperłącze" xfId="4" builtinId="9" hidden="1"/>
    <cellStyle name="Odwiedzone hiperłącze" xfId="5" builtinId="9" hidden="1"/>
    <cellStyle name="Odwiedzone hiperłącze" xfId="6" builtinId="9" hidden="1"/>
    <cellStyle name="Odwiedzone hiperłącze" xfId="7" builtinId="9" hidden="1"/>
    <cellStyle name="Odwiedzone hiperłącze" xfId="8" builtinId="9" hidden="1"/>
    <cellStyle name="Odwiedzone hiperłącze" xfId="9" builtinId="9" hidden="1"/>
    <cellStyle name="Odwiedzone hiperłącze" xfId="10" builtinId="9" hidden="1"/>
    <cellStyle name="Odwiedzone hiperłącze" xfId="11" builtinId="9" hidden="1"/>
    <cellStyle name="Odwiedzone hiperłącze" xfId="12" builtinId="9" hidden="1"/>
    <cellStyle name="Odwiedzone hiperłącze" xfId="13" builtinId="9" hidden="1"/>
    <cellStyle name="Odwiedzone hiperłącze" xfId="14" builtinId="9" hidden="1"/>
    <cellStyle name="Odwiedzone hiperłącze" xfId="15" builtinId="9" hidden="1"/>
    <cellStyle name="Odwiedzone hiperłącze" xfId="16" builtinId="9" hidden="1"/>
    <cellStyle name="Odwiedzone hiperłącze" xfId="17" builtinId="9" hidden="1"/>
    <cellStyle name="Odwiedzone hiperłącze" xfId="18" builtinId="9" hidden="1"/>
    <cellStyle name="Odwiedzone hiperłącze" xfId="19" builtinId="9" hidden="1"/>
    <cellStyle name="Odwiedzone hiperłącze" xfId="20" builtinId="9" hidden="1"/>
    <cellStyle name="Odwiedzone hiperłącze" xfId="21" builtinId="9" hidden="1"/>
    <cellStyle name="Odwiedzone hiperłącze" xfId="22" builtinId="9" hidden="1"/>
    <cellStyle name="Odwiedzone hiperłącze" xfId="23" builtinId="9" hidden="1"/>
    <cellStyle name="Odwiedzone hiperłącze" xfId="24" builtinId="9" hidden="1"/>
    <cellStyle name="Odwiedzone hiperłącze" xfId="25" builtinId="9" hidden="1"/>
    <cellStyle name="Odwiedzone hiperłącze" xfId="26" builtinId="9" hidden="1"/>
    <cellStyle name="Odwiedzone hiperłącze" xfId="27" builtinId="9" hidden="1"/>
    <cellStyle name="Odwiedzone hiperłącze" xfId="28" builtinId="9" hidden="1"/>
    <cellStyle name="Odwiedzone hiperłącze" xfId="29" builtinId="9" hidden="1"/>
    <cellStyle name="Odwiedzone hiperłącze" xfId="30" builtinId="9" hidden="1"/>
    <cellStyle name="Odwiedzone hiperłącze" xfId="31" builtinId="9" hidden="1"/>
    <cellStyle name="Odwiedzone hiperłącze" xfId="32" builtinId="9" hidden="1"/>
    <cellStyle name="Odwiedzone hiperłącze" xfId="33" builtinId="9" hidden="1"/>
    <cellStyle name="Odwiedzone hiperłącze" xfId="34" builtinId="9" hidden="1"/>
    <cellStyle name="Odwiedzone hiperłącze" xfId="35" builtinId="9" hidden="1"/>
    <cellStyle name="Odwiedzone hiperłącze" xfId="36" builtinId="9" hidden="1"/>
    <cellStyle name="Odwiedzone hiperłącze" xfId="37" builtinId="9" hidden="1"/>
    <cellStyle name="Odwiedzone hiperłącze" xfId="38" builtinId="9" hidden="1"/>
    <cellStyle name="Odwiedzone hiperłącze" xfId="39" builtinId="9" hidden="1"/>
    <cellStyle name="Odwiedzone hiperłącze" xfId="40" builtinId="9" hidden="1"/>
    <cellStyle name="Odwiedzone hiperłącze" xfId="41" builtinId="9" hidden="1"/>
    <cellStyle name="Odwiedzone hiperłącze" xfId="42" builtinId="9" hidden="1"/>
    <cellStyle name="Odwiedzone hiperłącze" xfId="43" builtinId="9" hidden="1"/>
    <cellStyle name="Odwiedzone hiperłącze" xfId="44" builtinId="9" hidden="1"/>
    <cellStyle name="Odwiedzone hiperłącze" xfId="45" builtinId="9" hidden="1"/>
    <cellStyle name="Odwiedzone hiperłącze" xfId="46" builtinId="9" hidden="1"/>
    <cellStyle name="Odwiedzone hiperłącze" xfId="47" builtinId="9" hidden="1"/>
    <cellStyle name="Odwiedzone hiperłącze" xfId="48" builtinId="9" hidden="1"/>
    <cellStyle name="Odwiedzone hiperłącze" xfId="49" builtinId="9" hidden="1"/>
    <cellStyle name="Odwiedzone hiperłącze" xfId="50" builtinId="9" hidden="1"/>
    <cellStyle name="Odwiedzone hiperłącze" xfId="51" builtinId="9" hidden="1"/>
    <cellStyle name="Odwiedzone hiperłącze" xfId="52" builtinId="9" hidden="1"/>
    <cellStyle name="Odwiedzone hiperłącze" xfId="53" builtinId="9" hidden="1"/>
    <cellStyle name="Odwiedzone hiperłącze" xfId="54" builtinId="9" hidden="1"/>
    <cellStyle name="Odwiedzone hiperłącze" xfId="55" builtinId="9" hidden="1"/>
    <cellStyle name="Odwiedzone hiperłącze" xfId="56" builtinId="9" hidden="1"/>
    <cellStyle name="Odwiedzone hiperłącze" xfId="57" builtinId="9" hidden="1"/>
    <cellStyle name="Odwiedzone hiperłącze" xfId="58" builtinId="9" hidden="1"/>
    <cellStyle name="Odwiedzone hiperłącze" xfId="59" builtinId="9" hidden="1"/>
    <cellStyle name="Odwiedzone hiperłącze" xfId="60" builtinId="9" hidden="1"/>
    <cellStyle name="Odwiedzone hiperłącze" xfId="61" builtinId="9" hidden="1"/>
    <cellStyle name="Odwiedzone hiperłącze" xfId="62" builtinId="9" hidden="1"/>
    <cellStyle name="Odwiedzone hiperłącze" xfId="63" builtinId="9" hidden="1"/>
    <cellStyle name="Odwiedzone hiperłącze" xfId="64" builtinId="9" hidden="1"/>
    <cellStyle name="Odwiedzone hiperłącze" xfId="65" builtinId="9" hidden="1"/>
    <cellStyle name="Odwiedzone hiperłącze" xfId="66" builtinId="9" hidden="1"/>
    <cellStyle name="Odwiedzone hiperłącze" xfId="67" builtinId="9" hidden="1"/>
    <cellStyle name="Odwiedzone hiperłącze" xfId="68" builtinId="9" hidden="1"/>
    <cellStyle name="Odwiedzone hiperłącze" xfId="69" builtinId="9" hidden="1"/>
    <cellStyle name="Odwiedzone hiperłącze" xfId="70" builtinId="9" hidden="1"/>
    <cellStyle name="Odwiedzone hiperłącze" xfId="71" builtinId="9" hidden="1"/>
    <cellStyle name="Odwiedzone hiperłącze" xfId="72" builtinId="9" hidden="1"/>
    <cellStyle name="Odwiedzone hiperłącze" xfId="73" builtinId="9" hidden="1"/>
    <cellStyle name="Odwiedzone hiperłącze" xfId="74" builtinId="9" hidden="1"/>
    <cellStyle name="Odwiedzone hiperłącze" xfId="75" builtinId="9" hidden="1"/>
    <cellStyle name="Odwiedzone hiperłącze" xfId="76" builtinId="9" hidden="1"/>
    <cellStyle name="Odwiedzone hiperłącze" xfId="77" builtinId="9" hidden="1"/>
    <cellStyle name="Odwiedzone hiperłącze" xfId="78" builtinId="9" hidden="1"/>
    <cellStyle name="Odwiedzone hiperłącze" xfId="79" builtinId="9" hidden="1"/>
    <cellStyle name="Odwiedzone hiperłącze" xfId="80" builtinId="9" hidden="1"/>
    <cellStyle name="Odwiedzone hiperłącze" xfId="81" builtinId="9" hidden="1"/>
    <cellStyle name="Odwiedzone hiperłącze" xfId="82" builtinId="9" hidden="1"/>
    <cellStyle name="Odwiedzone hiperłącze" xfId="83" builtinId="9" hidden="1"/>
    <cellStyle name="Odwiedzone hiperłącze" xfId="84" builtinId="9" hidden="1"/>
    <cellStyle name="Odwiedzone hiperłącze" xfId="85" builtinId="9" hidden="1"/>
    <cellStyle name="Odwiedzone hiperłącze" xfId="86" builtinId="9" hidden="1"/>
    <cellStyle name="Odwiedzone hiperłącze" xfId="87" builtinId="9" hidden="1"/>
    <cellStyle name="Odwiedzone hiperłącze" xfId="88" builtinId="9" hidden="1"/>
    <cellStyle name="Odwiedzone hiperłącze" xfId="89" builtinId="9" hidden="1"/>
    <cellStyle name="Odwiedzone hiperłącze" xfId="90" builtinId="9" hidden="1"/>
    <cellStyle name="Odwiedzone hiperłącze" xfId="91" builtinId="9" hidden="1"/>
    <cellStyle name="Odwiedzone hiperłącze" xfId="92" builtinId="9" hidden="1"/>
    <cellStyle name="Odwiedzone hiperłącze" xfId="93" builtinId="9" hidden="1"/>
    <cellStyle name="Odwiedzone hiperłącze" xfId="94" builtinId="9" hidden="1"/>
    <cellStyle name="Odwiedzone hiperłącze" xfId="95" builtinId="9" hidden="1"/>
    <cellStyle name="Odwiedzone hiperłącze" xfId="96" builtinId="9" hidden="1"/>
    <cellStyle name="Odwiedzone hiperłącze" xfId="97" builtinId="9" hidden="1"/>
    <cellStyle name="Odwiedzone hiperłącze" xfId="98" builtinId="9" hidden="1"/>
    <cellStyle name="Odwiedzone hiperłącze" xfId="99" builtinId="9" hidden="1"/>
    <cellStyle name="Odwiedzone hiperłącze" xfId="100" builtinId="9" hidden="1"/>
    <cellStyle name="Odwiedzone hiperłącze" xfId="101" builtinId="9" hidden="1"/>
    <cellStyle name="Odwiedzone hiperłącze" xfId="102" builtinId="9" hidden="1"/>
    <cellStyle name="Odwiedzone hiperłącze" xfId="103" builtinId="9" hidden="1"/>
    <cellStyle name="Odwiedzone hiperłącze" xfId="104" builtinId="9" hidden="1"/>
    <cellStyle name="Odwiedzone hiperłącze" xfId="105" builtinId="9" hidden="1"/>
    <cellStyle name="Odwiedzone hiperłącze" xfId="106" builtinId="9" hidden="1"/>
    <cellStyle name="Odwiedzone hiperłącze" xfId="107" builtinId="9" hidden="1"/>
    <cellStyle name="Odwiedzone hiperłącze" xfId="108" builtinId="9" hidden="1"/>
    <cellStyle name="Odwiedzone hiperłącze" xfId="109" builtinId="9" hidden="1"/>
    <cellStyle name="Odwiedzone hiperłącze" xfId="110" builtinId="9" hidden="1"/>
    <cellStyle name="Odwiedzone hiperłącze" xfId="111" builtinId="9" hidden="1"/>
    <cellStyle name="Procentowy" xfId="1" builtinId="5"/>
    <cellStyle name="Standard 3" xfId="112"/>
  </cellStyles>
  <dxfs count="0"/>
  <tableStyles count="0" defaultTableStyle="TableStyleMedium2" defaultPivotStyle="PivotStyleLight16"/>
  <colors>
    <mruColors>
      <color rgb="FFE36E00"/>
      <color rgb="FF243386"/>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20</xdr:row>
      <xdr:rowOff>38101</xdr:rowOff>
    </xdr:to>
    <xdr:pic>
      <xdr:nvPicPr>
        <xdr:cNvPr id="3" name="Picture 2"/>
        <xdr:cNvPicPr>
          <a:picLocks noChangeAspect="1"/>
        </xdr:cNvPicPr>
      </xdr:nvPicPr>
      <xdr:blipFill>
        <a:blip xmlns:r="http://schemas.openxmlformats.org/officeDocument/2006/relationships" r:embed="rId1"/>
        <a:stretch>
          <a:fillRect/>
        </a:stretch>
      </xdr:blipFill>
      <xdr:spPr>
        <a:xfrm>
          <a:off x="2125980" y="1493521"/>
          <a:ext cx="4682708" cy="1485900"/>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1.vml"/><Relationship Id="rId5" Type="http://schemas.openxmlformats.org/officeDocument/2006/relationships/printerSettings" Target="../printerSettings/printerSettings2.bin"/><Relationship Id="rId4" Type="http://schemas.openxmlformats.org/officeDocument/2006/relationships/hyperlink" Target="http://mhipoteczny.pl/relacje-inwestorskie/"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36"/>
  <sheetViews>
    <sheetView tabSelected="1" zoomScaleNormal="100" workbookViewId="0">
      <selection activeCell="N29" sqref="N29"/>
    </sheetView>
  </sheetViews>
  <sheetFormatPr defaultRowHeight="15" x14ac:dyDescent="0.25"/>
  <cols>
    <col min="1" max="1" width="8.85546875" style="13" collapsed="1"/>
    <col min="2" max="10" width="12.42578125" style="13" customWidth="1" collapsed="1"/>
    <col min="11" max="18" width="8.85546875" style="13" collapsed="1"/>
  </cols>
  <sheetData>
    <row r="1" spans="1:18" ht="15.75" thickBot="1" x14ac:dyDescent="0.3"/>
    <row r="2" spans="1:18" x14ac:dyDescent="0.25">
      <c r="B2" s="20"/>
      <c r="C2" s="21"/>
      <c r="D2" s="21"/>
      <c r="E2" s="21"/>
      <c r="F2" s="21"/>
      <c r="G2" s="21"/>
      <c r="H2" s="21"/>
      <c r="I2" s="21"/>
      <c r="J2" s="22"/>
    </row>
    <row r="3" spans="1:18" x14ac:dyDescent="0.25">
      <c r="B3" s="23"/>
      <c r="C3" s="24"/>
      <c r="D3" s="24"/>
      <c r="E3" s="24"/>
      <c r="F3" s="24"/>
      <c r="G3" s="24"/>
      <c r="H3" s="24"/>
      <c r="I3" s="24"/>
      <c r="J3" s="25"/>
    </row>
    <row r="4" spans="1:18" x14ac:dyDescent="0.25">
      <c r="B4" s="23"/>
      <c r="C4" s="24"/>
      <c r="D4" s="24"/>
      <c r="E4" s="24"/>
      <c r="F4" s="24"/>
      <c r="G4" s="24"/>
      <c r="H4" s="24"/>
      <c r="I4" s="24"/>
      <c r="J4" s="25"/>
    </row>
    <row r="5" spans="1:18" ht="31.5" x14ac:dyDescent="0.3">
      <c r="B5" s="23"/>
      <c r="C5" s="24"/>
      <c r="D5" s="24"/>
      <c r="E5" s="26"/>
      <c r="F5" s="27" t="s">
        <v>48</v>
      </c>
      <c r="G5" s="24"/>
      <c r="H5" s="24"/>
      <c r="I5" s="24"/>
      <c r="J5" s="25"/>
    </row>
    <row r="6" spans="1:18" x14ac:dyDescent="0.25">
      <c r="B6" s="23"/>
      <c r="C6" s="24"/>
      <c r="D6" s="24"/>
      <c r="E6" s="24"/>
      <c r="F6" s="28"/>
      <c r="G6" s="24"/>
      <c r="H6" s="24"/>
      <c r="I6" s="24"/>
      <c r="J6" s="25"/>
    </row>
    <row r="7" spans="1:18" ht="26.25" x14ac:dyDescent="0.25">
      <c r="B7" s="23"/>
      <c r="C7" s="24"/>
      <c r="D7" s="24"/>
      <c r="E7" s="24"/>
      <c r="F7" s="29" t="s">
        <v>104</v>
      </c>
      <c r="G7" s="24"/>
      <c r="H7" s="24"/>
      <c r="I7" s="24"/>
      <c r="J7" s="25"/>
    </row>
    <row r="8" spans="1:18" ht="26.25" x14ac:dyDescent="0.25">
      <c r="B8" s="23"/>
      <c r="C8" s="24"/>
      <c r="D8" s="24"/>
      <c r="E8" s="24"/>
      <c r="F8" s="29" t="s">
        <v>1034</v>
      </c>
      <c r="G8" s="24"/>
      <c r="H8" s="24"/>
      <c r="I8" s="24"/>
      <c r="J8" s="25"/>
    </row>
    <row r="9" spans="1:18" s="50" customFormat="1" ht="21" x14ac:dyDescent="0.25">
      <c r="A9" s="13"/>
      <c r="B9" s="23"/>
      <c r="C9" s="24"/>
      <c r="D9" s="24"/>
      <c r="E9" s="24"/>
      <c r="F9" s="82" t="s">
        <v>1118</v>
      </c>
      <c r="G9" s="24"/>
      <c r="H9" s="24"/>
      <c r="I9" s="24"/>
      <c r="J9" s="25"/>
      <c r="K9" s="13"/>
      <c r="L9" s="13"/>
      <c r="M9" s="13"/>
      <c r="N9" s="13"/>
      <c r="O9" s="13"/>
      <c r="P9" s="13"/>
      <c r="Q9" s="13"/>
      <c r="R9" s="13"/>
    </row>
    <row r="10" spans="1:18" ht="21" x14ac:dyDescent="0.25">
      <c r="B10" s="23"/>
      <c r="C10" s="24"/>
      <c r="D10" s="24"/>
      <c r="E10" s="24"/>
      <c r="F10" s="82" t="s">
        <v>1117</v>
      </c>
      <c r="G10" s="24"/>
      <c r="H10" s="24"/>
      <c r="I10" s="24"/>
      <c r="J10" s="25"/>
    </row>
    <row r="11" spans="1:18" s="50" customFormat="1" ht="21" x14ac:dyDescent="0.25">
      <c r="A11" s="13"/>
      <c r="B11" s="23"/>
      <c r="C11" s="24"/>
      <c r="D11" s="24"/>
      <c r="E11" s="24"/>
      <c r="F11" s="82"/>
      <c r="G11" s="24"/>
      <c r="H11" s="24"/>
      <c r="I11" s="24"/>
      <c r="J11" s="25"/>
      <c r="K11" s="13"/>
      <c r="L11" s="13"/>
      <c r="M11" s="13"/>
      <c r="N11" s="13"/>
      <c r="O11" s="13"/>
      <c r="P11" s="13"/>
      <c r="Q11" s="13"/>
      <c r="R11" s="13"/>
    </row>
    <row r="12" spans="1:18" x14ac:dyDescent="0.25">
      <c r="B12" s="23"/>
      <c r="C12" s="24"/>
      <c r="D12" s="24"/>
      <c r="E12" s="24"/>
      <c r="F12" s="24"/>
      <c r="G12" s="24"/>
      <c r="H12" s="24"/>
      <c r="I12" s="24"/>
      <c r="J12" s="25"/>
    </row>
    <row r="13" spans="1:18" x14ac:dyDescent="0.25">
      <c r="B13" s="23"/>
      <c r="C13" s="24"/>
      <c r="D13" s="24"/>
      <c r="E13" s="24"/>
      <c r="F13" s="24"/>
      <c r="G13" s="24"/>
      <c r="H13" s="24"/>
      <c r="I13" s="24"/>
      <c r="J13" s="25"/>
    </row>
    <row r="14" spans="1:18" x14ac:dyDescent="0.25">
      <c r="B14" s="23"/>
      <c r="C14" s="24"/>
      <c r="D14" s="24"/>
      <c r="E14" s="24"/>
      <c r="F14" s="24"/>
      <c r="G14" s="24"/>
      <c r="H14" s="24"/>
      <c r="I14" s="24"/>
      <c r="J14" s="25"/>
    </row>
    <row r="15" spans="1:18" x14ac:dyDescent="0.25">
      <c r="B15" s="23"/>
      <c r="C15" s="24"/>
      <c r="D15" s="24"/>
      <c r="E15" s="24"/>
      <c r="F15" s="24"/>
      <c r="G15" s="24"/>
      <c r="H15" s="24"/>
      <c r="I15" s="24"/>
      <c r="J15" s="25"/>
    </row>
    <row r="16" spans="1:18" x14ac:dyDescent="0.25">
      <c r="B16" s="23"/>
      <c r="C16" s="24"/>
      <c r="D16" s="24"/>
      <c r="E16" s="24"/>
      <c r="F16" s="24"/>
      <c r="G16" s="24"/>
      <c r="H16" s="24"/>
      <c r="I16" s="24"/>
      <c r="J16" s="25"/>
    </row>
    <row r="17" spans="1:18" x14ac:dyDescent="0.25">
      <c r="B17" s="23"/>
      <c r="C17" s="24"/>
      <c r="D17" s="24"/>
      <c r="E17" s="24"/>
      <c r="F17" s="24"/>
      <c r="G17" s="24"/>
      <c r="H17" s="24"/>
      <c r="I17" s="24"/>
      <c r="J17" s="25"/>
    </row>
    <row r="18" spans="1:18" x14ac:dyDescent="0.25">
      <c r="B18" s="23"/>
      <c r="C18" s="24"/>
      <c r="D18" s="24"/>
      <c r="E18" s="24"/>
      <c r="F18" s="24"/>
      <c r="G18" s="24"/>
      <c r="H18" s="24"/>
      <c r="I18" s="24"/>
      <c r="J18" s="25"/>
    </row>
    <row r="19" spans="1:18" x14ac:dyDescent="0.25">
      <c r="B19" s="23"/>
      <c r="C19" s="24"/>
      <c r="D19" s="24"/>
      <c r="E19" s="24"/>
      <c r="F19" s="24"/>
      <c r="G19" s="24"/>
      <c r="H19" s="24"/>
      <c r="I19" s="24"/>
      <c r="J19" s="25"/>
    </row>
    <row r="20" spans="1:18" x14ac:dyDescent="0.25">
      <c r="B20" s="23"/>
      <c r="C20" s="24"/>
      <c r="D20" s="24"/>
      <c r="E20" s="24"/>
      <c r="F20" s="24"/>
      <c r="G20" s="24"/>
      <c r="H20" s="24"/>
      <c r="I20" s="24"/>
      <c r="J20" s="25"/>
    </row>
    <row r="21" spans="1:18" x14ac:dyDescent="0.25">
      <c r="B21" s="23"/>
      <c r="C21" s="24"/>
      <c r="D21" s="24"/>
      <c r="E21" s="24"/>
      <c r="F21" s="24"/>
      <c r="G21" s="24"/>
      <c r="H21" s="24"/>
      <c r="I21" s="24"/>
      <c r="J21" s="25"/>
    </row>
    <row r="22" spans="1:18" x14ac:dyDescent="0.25">
      <c r="B22" s="23"/>
      <c r="C22" s="24"/>
      <c r="D22" s="24"/>
      <c r="E22" s="24"/>
      <c r="F22" s="30" t="s">
        <v>49</v>
      </c>
      <c r="G22" s="24"/>
      <c r="H22" s="24"/>
      <c r="I22" s="24"/>
      <c r="J22" s="25"/>
    </row>
    <row r="23" spans="1:18" x14ac:dyDescent="0.25">
      <c r="B23" s="23"/>
      <c r="C23" s="24"/>
      <c r="D23" s="24"/>
      <c r="E23" s="24"/>
      <c r="F23" s="31"/>
      <c r="G23" s="24"/>
      <c r="H23" s="24"/>
      <c r="I23" s="24"/>
      <c r="J23" s="25"/>
    </row>
    <row r="24" spans="1:18" x14ac:dyDescent="0.25">
      <c r="B24" s="23"/>
      <c r="C24" s="24"/>
      <c r="D24" s="128" t="s">
        <v>231</v>
      </c>
      <c r="E24" s="129" t="s">
        <v>50</v>
      </c>
      <c r="F24" s="129"/>
      <c r="G24" s="129"/>
      <c r="H24" s="129"/>
      <c r="I24" s="24"/>
      <c r="J24" s="25"/>
    </row>
    <row r="25" spans="1:18" x14ac:dyDescent="0.25">
      <c r="B25" s="23"/>
      <c r="C25" s="24"/>
      <c r="D25" s="24"/>
      <c r="E25" s="32"/>
      <c r="F25" s="32"/>
      <c r="G25" s="32"/>
      <c r="H25" s="24"/>
      <c r="I25" s="24"/>
      <c r="J25" s="25"/>
    </row>
    <row r="26" spans="1:18" x14ac:dyDescent="0.25">
      <c r="B26" s="23"/>
      <c r="C26" s="24"/>
      <c r="D26" s="128" t="s">
        <v>256</v>
      </c>
      <c r="E26" s="129"/>
      <c r="F26" s="129"/>
      <c r="G26" s="129"/>
      <c r="H26" s="129"/>
      <c r="I26" s="24"/>
      <c r="J26" s="25"/>
    </row>
    <row r="27" spans="1:18" s="50" customFormat="1" x14ac:dyDescent="0.25">
      <c r="A27" s="13"/>
      <c r="B27" s="23"/>
      <c r="C27" s="24"/>
      <c r="D27" s="69"/>
      <c r="E27" s="69"/>
      <c r="F27" s="69"/>
      <c r="G27" s="69"/>
      <c r="H27" s="69"/>
      <c r="I27" s="24"/>
      <c r="J27" s="25"/>
      <c r="K27" s="13"/>
      <c r="L27" s="13"/>
      <c r="M27" s="13"/>
      <c r="N27" s="13"/>
      <c r="O27" s="13"/>
      <c r="P27" s="13"/>
      <c r="Q27" s="13"/>
      <c r="R27" s="13"/>
    </row>
    <row r="28" spans="1:18" s="50" customFormat="1" x14ac:dyDescent="0.25">
      <c r="A28" s="13"/>
      <c r="B28" s="23"/>
      <c r="C28" s="24"/>
      <c r="D28" s="128" t="s">
        <v>257</v>
      </c>
      <c r="E28" s="129" t="s">
        <v>50</v>
      </c>
      <c r="F28" s="129"/>
      <c r="G28" s="129"/>
      <c r="H28" s="129"/>
      <c r="I28" s="24"/>
      <c r="J28" s="25"/>
      <c r="K28" s="13"/>
      <c r="L28" s="13"/>
      <c r="M28" s="13"/>
      <c r="N28" s="13"/>
      <c r="O28" s="13"/>
      <c r="P28" s="13"/>
      <c r="Q28" s="13"/>
      <c r="R28" s="13"/>
    </row>
    <row r="29" spans="1:18" s="84" customFormat="1" x14ac:dyDescent="0.25">
      <c r="A29" s="87"/>
      <c r="B29" s="23"/>
      <c r="C29" s="24"/>
      <c r="D29" s="24"/>
      <c r="E29" s="121"/>
      <c r="F29" s="121"/>
      <c r="G29" s="121"/>
      <c r="H29" s="121"/>
      <c r="I29" s="24"/>
      <c r="J29" s="25"/>
      <c r="K29" s="87"/>
      <c r="L29" s="87"/>
      <c r="M29" s="87"/>
      <c r="N29" s="87"/>
      <c r="O29" s="87"/>
      <c r="P29" s="87"/>
      <c r="Q29" s="87"/>
      <c r="R29" s="87"/>
    </row>
    <row r="30" spans="1:18" s="84" customFormat="1" x14ac:dyDescent="0.25">
      <c r="A30" s="87"/>
      <c r="B30" s="23"/>
      <c r="C30" s="24"/>
      <c r="D30" s="128" t="s">
        <v>1119</v>
      </c>
      <c r="E30" s="129"/>
      <c r="F30" s="129"/>
      <c r="G30" s="129"/>
      <c r="H30" s="129"/>
      <c r="I30" s="24"/>
      <c r="J30" s="25"/>
      <c r="K30" s="87"/>
      <c r="L30" s="87"/>
      <c r="M30" s="87"/>
      <c r="N30" s="87"/>
      <c r="O30" s="87"/>
      <c r="P30" s="87"/>
      <c r="Q30" s="87"/>
      <c r="R30" s="87"/>
    </row>
    <row r="31" spans="1:18" x14ac:dyDescent="0.25">
      <c r="B31" s="23"/>
      <c r="C31" s="24"/>
      <c r="D31" s="32"/>
      <c r="E31" s="32"/>
      <c r="F31" s="32"/>
      <c r="G31" s="32"/>
      <c r="H31" s="32"/>
      <c r="I31" s="24"/>
      <c r="J31" s="25"/>
    </row>
    <row r="32" spans="1:18" x14ac:dyDescent="0.25">
      <c r="B32" s="23"/>
      <c r="C32" s="24"/>
      <c r="D32" s="128" t="s">
        <v>430</v>
      </c>
      <c r="E32" s="129" t="s">
        <v>50</v>
      </c>
      <c r="F32" s="129"/>
      <c r="G32" s="129"/>
      <c r="H32" s="129"/>
      <c r="I32" s="24"/>
      <c r="J32" s="25"/>
    </row>
    <row r="33" spans="2:10" x14ac:dyDescent="0.25">
      <c r="B33" s="23"/>
      <c r="C33" s="24"/>
      <c r="D33" s="24"/>
      <c r="E33" s="24"/>
      <c r="F33" s="24"/>
      <c r="G33" s="24"/>
      <c r="H33" s="24"/>
      <c r="I33" s="24"/>
      <c r="J33" s="25"/>
    </row>
    <row r="34" spans="2:10" x14ac:dyDescent="0.25">
      <c r="B34" s="23"/>
      <c r="C34" s="24"/>
      <c r="D34" s="24"/>
      <c r="E34" s="24"/>
      <c r="F34" s="31"/>
      <c r="G34" s="24"/>
      <c r="H34" s="24"/>
      <c r="I34" s="24"/>
      <c r="J34" s="25"/>
    </row>
    <row r="35" spans="2:10" x14ac:dyDescent="0.25">
      <c r="B35" s="23"/>
      <c r="C35" s="24"/>
      <c r="D35" s="24"/>
      <c r="E35" s="24"/>
      <c r="F35" s="24"/>
      <c r="G35" s="24"/>
      <c r="H35" s="24"/>
      <c r="I35" s="24"/>
      <c r="J35" s="25"/>
    </row>
    <row r="36" spans="2:10" ht="15.75" thickBot="1" x14ac:dyDescent="0.3">
      <c r="B36" s="33"/>
      <c r="C36" s="34"/>
      <c r="D36" s="34"/>
      <c r="E36" s="34"/>
      <c r="F36" s="34"/>
      <c r="G36" s="34"/>
      <c r="H36" s="34"/>
      <c r="I36" s="34"/>
      <c r="J36" s="35"/>
    </row>
  </sheetData>
  <mergeCells count="5">
    <mergeCell ref="D32:H32"/>
    <mergeCell ref="D24:H24"/>
    <mergeCell ref="D26:H26"/>
    <mergeCell ref="D28:H28"/>
    <mergeCell ref="D30:H30"/>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2:H32" location="Disclaimer!A1" display="Disclaimer"/>
    <hyperlink ref="D30:H30" location="'E. Optional ECB-ECAIs data'!A1" display="Worksheet E. Optional ECB-ECAIs data"/>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N375"/>
  <sheetViews>
    <sheetView topLeftCell="A328" zoomScaleNormal="100" zoomScalePageLayoutView="80" workbookViewId="0">
      <selection activeCell="F100" sqref="F100"/>
    </sheetView>
  </sheetViews>
  <sheetFormatPr defaultColWidth="8.85546875" defaultRowHeight="15" outlineLevelRow="1" x14ac:dyDescent="0.25"/>
  <cols>
    <col min="1" max="1" width="13.28515625" style="53" customWidth="1" collapsed="1"/>
    <col min="2" max="2" width="57.5703125" style="53" customWidth="1" collapsed="1"/>
    <col min="3" max="4" width="21.42578125" style="53" customWidth="1" collapsed="1"/>
    <col min="5" max="5" width="9.5703125" style="53" customWidth="1" collapsed="1"/>
    <col min="6" max="6" width="27.5703125" style="53" customWidth="1" collapsed="1"/>
    <col min="7" max="7" width="27.5703125" style="52" customWidth="1" collapsed="1"/>
    <col min="8" max="8" width="7.28515625" style="53" customWidth="1" collapsed="1"/>
    <col min="9" max="9" width="14.7109375" style="53" customWidth="1" collapsed="1"/>
    <col min="10" max="10" width="21.85546875" style="53" customWidth="1" collapsed="1"/>
    <col min="11" max="11" width="47.7109375" style="53" customWidth="1" collapsed="1"/>
    <col min="12" max="12" width="7.28515625" style="53" customWidth="1" collapsed="1"/>
    <col min="13" max="13" width="25.7109375" style="53" customWidth="1" collapsed="1"/>
    <col min="14" max="14" width="25.7109375" style="52" customWidth="1" collapsed="1"/>
    <col min="15" max="16384" width="8.85546875" style="51" collapsed="1"/>
  </cols>
  <sheetData>
    <row r="1" spans="1:13" ht="31.5" customHeight="1" x14ac:dyDescent="0.25">
      <c r="A1" s="19" t="s">
        <v>229</v>
      </c>
      <c r="B1" s="19"/>
      <c r="C1" s="52"/>
      <c r="D1" s="52"/>
      <c r="E1" s="52"/>
      <c r="F1" s="52"/>
      <c r="H1" s="52"/>
      <c r="I1" s="19"/>
      <c r="J1" s="52"/>
      <c r="K1" s="52"/>
      <c r="L1" s="52"/>
      <c r="M1" s="52"/>
    </row>
    <row r="2" spans="1:13" ht="15.75" customHeight="1" thickBot="1" x14ac:dyDescent="0.3">
      <c r="A2" s="52"/>
      <c r="B2" s="92"/>
      <c r="C2" s="92"/>
      <c r="D2" s="52"/>
      <c r="E2" s="52"/>
      <c r="F2" s="52"/>
      <c r="H2" s="52"/>
      <c r="L2" s="52"/>
      <c r="M2" s="52"/>
    </row>
    <row r="3" spans="1:13" ht="19.5" customHeight="1" thickBot="1" x14ac:dyDescent="0.3">
      <c r="A3" s="44"/>
      <c r="B3" s="43" t="s">
        <v>128</v>
      </c>
      <c r="C3" s="93" t="s">
        <v>1062</v>
      </c>
      <c r="D3" s="44"/>
      <c r="E3" s="44"/>
      <c r="F3" s="44"/>
      <c r="G3" s="44"/>
      <c r="H3" s="52"/>
      <c r="L3" s="52"/>
      <c r="M3" s="52"/>
    </row>
    <row r="4" spans="1:13" ht="15.75" thickBot="1" x14ac:dyDescent="0.3">
      <c r="H4" s="52"/>
      <c r="L4" s="52"/>
      <c r="M4" s="52"/>
    </row>
    <row r="5" spans="1:13" ht="19.5" customHeight="1" thickBot="1" x14ac:dyDescent="0.3">
      <c r="A5" s="61"/>
      <c r="B5" s="79" t="s">
        <v>228</v>
      </c>
      <c r="C5" s="61"/>
      <c r="E5" s="3"/>
      <c r="F5" s="3"/>
      <c r="H5" s="52"/>
      <c r="L5" s="52"/>
      <c r="M5" s="52"/>
    </row>
    <row r="6" spans="1:13" ht="15" customHeight="1" x14ac:dyDescent="0.25">
      <c r="B6" s="73" t="s">
        <v>58</v>
      </c>
      <c r="H6" s="52"/>
      <c r="L6" s="52"/>
      <c r="M6" s="52"/>
    </row>
    <row r="7" spans="1:13" ht="15" customHeight="1" x14ac:dyDescent="0.25">
      <c r="B7" s="74" t="s">
        <v>59</v>
      </c>
      <c r="D7" s="113"/>
      <c r="H7" s="52"/>
      <c r="L7" s="52"/>
      <c r="M7" s="52"/>
    </row>
    <row r="8" spans="1:13" ht="15" customHeight="1" x14ac:dyDescent="0.25">
      <c r="B8" s="74" t="s">
        <v>60</v>
      </c>
      <c r="F8" s="53" t="s">
        <v>212</v>
      </c>
      <c r="H8" s="52"/>
      <c r="L8" s="52"/>
      <c r="M8" s="52"/>
    </row>
    <row r="9" spans="1:13" ht="15" customHeight="1" x14ac:dyDescent="0.25">
      <c r="B9" s="76" t="s">
        <v>214</v>
      </c>
      <c r="H9" s="52"/>
      <c r="L9" s="52"/>
      <c r="M9" s="52"/>
    </row>
    <row r="10" spans="1:13" ht="15" customHeight="1" x14ac:dyDescent="0.25">
      <c r="B10" s="76" t="s">
        <v>215</v>
      </c>
      <c r="H10" s="52"/>
      <c r="L10" s="52"/>
      <c r="M10" s="52"/>
    </row>
    <row r="11" spans="1:13" ht="15.75" customHeight="1" thickBot="1" x14ac:dyDescent="0.3">
      <c r="B11" s="77" t="s">
        <v>216</v>
      </c>
      <c r="H11" s="52"/>
      <c r="L11" s="52"/>
      <c r="M11" s="52"/>
    </row>
    <row r="12" spans="1:13" ht="15" customHeight="1" x14ac:dyDescent="0.25">
      <c r="B12" s="66"/>
      <c r="H12" s="52"/>
      <c r="L12" s="52"/>
      <c r="M12" s="52"/>
    </row>
    <row r="13" spans="1:13" ht="37.5" customHeight="1" x14ac:dyDescent="0.25">
      <c r="A13" s="18" t="s">
        <v>223</v>
      </c>
      <c r="B13" s="18" t="s">
        <v>58</v>
      </c>
      <c r="C13" s="15"/>
      <c r="D13" s="15"/>
      <c r="E13" s="15"/>
      <c r="F13" s="15"/>
      <c r="G13" s="16"/>
      <c r="H13" s="52"/>
      <c r="L13" s="52"/>
      <c r="M13" s="52"/>
    </row>
    <row r="14" spans="1:13" ht="15" customHeight="1" x14ac:dyDescent="0.25">
      <c r="A14" s="53" t="s">
        <v>431</v>
      </c>
      <c r="B14" s="45" t="s">
        <v>51</v>
      </c>
      <c r="C14" s="53" t="s">
        <v>1033</v>
      </c>
      <c r="E14" s="3"/>
      <c r="F14" s="3"/>
      <c r="H14" s="52"/>
      <c r="L14" s="52"/>
      <c r="M14" s="52"/>
    </row>
    <row r="15" spans="1:13" ht="15" customHeight="1" x14ac:dyDescent="0.25">
      <c r="A15" s="90" t="s">
        <v>432</v>
      </c>
      <c r="B15" s="45" t="s">
        <v>52</v>
      </c>
      <c r="C15" s="53" t="s">
        <v>1034</v>
      </c>
      <c r="E15" s="3"/>
      <c r="F15" s="3"/>
      <c r="H15" s="52"/>
      <c r="L15" s="52"/>
      <c r="M15" s="52"/>
    </row>
    <row r="16" spans="1:13" ht="15" customHeight="1" x14ac:dyDescent="0.25">
      <c r="A16" s="90" t="s">
        <v>433</v>
      </c>
      <c r="B16" s="45" t="s">
        <v>188</v>
      </c>
      <c r="C16" s="53" t="s">
        <v>1066</v>
      </c>
      <c r="E16" s="3"/>
      <c r="F16" s="3"/>
      <c r="H16" s="52"/>
      <c r="L16" s="52"/>
      <c r="M16" s="52"/>
    </row>
    <row r="17" spans="1:13" ht="15" customHeight="1" x14ac:dyDescent="0.25">
      <c r="A17" s="90" t="s">
        <v>434</v>
      </c>
      <c r="B17" s="45" t="s">
        <v>232</v>
      </c>
      <c r="C17" s="53" t="s">
        <v>1116</v>
      </c>
      <c r="E17" s="3"/>
      <c r="F17" s="3"/>
      <c r="H17" s="52"/>
      <c r="L17" s="52"/>
      <c r="M17" s="52"/>
    </row>
    <row r="18" spans="1:13" ht="84" customHeight="1" outlineLevel="1" x14ac:dyDescent="0.25">
      <c r="A18" s="90" t="s">
        <v>435</v>
      </c>
      <c r="B18" s="91" t="s">
        <v>1257</v>
      </c>
      <c r="C18" s="90" t="s">
        <v>1258</v>
      </c>
      <c r="D18" s="90"/>
      <c r="E18" s="3"/>
      <c r="F18" s="3"/>
      <c r="H18" s="52"/>
      <c r="L18" s="52"/>
      <c r="M18" s="52"/>
    </row>
    <row r="19" spans="1:13" ht="15" customHeight="1" outlineLevel="1" x14ac:dyDescent="0.25">
      <c r="A19" s="90" t="s">
        <v>436</v>
      </c>
      <c r="B19" s="91" t="s">
        <v>1259</v>
      </c>
      <c r="C19" s="90" t="s">
        <v>1260</v>
      </c>
      <c r="E19" s="3"/>
      <c r="F19" s="3"/>
      <c r="H19" s="52"/>
      <c r="L19" s="52"/>
      <c r="M19" s="52"/>
    </row>
    <row r="20" spans="1:13" ht="15" customHeight="1" outlineLevel="1" x14ac:dyDescent="0.25">
      <c r="A20" s="90" t="s">
        <v>437</v>
      </c>
      <c r="B20" s="91" t="s">
        <v>1261</v>
      </c>
      <c r="C20" s="90" t="s">
        <v>1262</v>
      </c>
      <c r="E20" s="3"/>
      <c r="F20" s="3"/>
      <c r="H20" s="52"/>
      <c r="L20" s="52"/>
      <c r="M20" s="52"/>
    </row>
    <row r="21" spans="1:13" ht="15" customHeight="1" outlineLevel="1" x14ac:dyDescent="0.25">
      <c r="A21" s="90" t="s">
        <v>438</v>
      </c>
      <c r="B21" s="91" t="s">
        <v>1263</v>
      </c>
      <c r="C21" s="90" t="s">
        <v>1264</v>
      </c>
      <c r="E21" s="3"/>
      <c r="F21" s="3"/>
      <c r="H21" s="52"/>
      <c r="L21" s="52"/>
      <c r="M21" s="52"/>
    </row>
    <row r="22" spans="1:13" ht="15" customHeight="1" outlineLevel="1" x14ac:dyDescent="0.25">
      <c r="A22" s="90" t="s">
        <v>439</v>
      </c>
      <c r="B22" s="91" t="s">
        <v>1265</v>
      </c>
      <c r="C22" s="90" t="s">
        <v>1266</v>
      </c>
      <c r="E22" s="3"/>
      <c r="F22" s="3"/>
      <c r="H22" s="52"/>
      <c r="L22" s="52"/>
      <c r="M22" s="52"/>
    </row>
    <row r="23" spans="1:13" ht="15" customHeight="1" outlineLevel="1" x14ac:dyDescent="0.25">
      <c r="A23" s="90" t="s">
        <v>440</v>
      </c>
      <c r="B23" s="49"/>
      <c r="C23" s="90"/>
      <c r="E23" s="3"/>
      <c r="F23" s="3"/>
      <c r="H23" s="52"/>
      <c r="L23" s="52"/>
      <c r="M23" s="52"/>
    </row>
    <row r="24" spans="1:13" ht="15" customHeight="1" outlineLevel="1" x14ac:dyDescent="0.25">
      <c r="A24" s="90" t="s">
        <v>441</v>
      </c>
      <c r="B24" s="49"/>
      <c r="E24" s="3"/>
      <c r="F24" s="3"/>
      <c r="H24" s="52"/>
      <c r="L24" s="52"/>
      <c r="M24" s="52"/>
    </row>
    <row r="25" spans="1:13" ht="15" customHeight="1" outlineLevel="1" x14ac:dyDescent="0.25">
      <c r="A25" s="90" t="s">
        <v>442</v>
      </c>
      <c r="B25" s="49"/>
      <c r="E25" s="3"/>
      <c r="F25" s="3"/>
      <c r="H25" s="52"/>
      <c r="L25" s="52"/>
      <c r="M25" s="52"/>
    </row>
    <row r="26" spans="1:13" ht="18.75" customHeight="1" x14ac:dyDescent="0.25">
      <c r="A26" s="15"/>
      <c r="B26" s="18" t="s">
        <v>59</v>
      </c>
      <c r="C26" s="15"/>
      <c r="D26" s="15"/>
      <c r="E26" s="15"/>
      <c r="F26" s="15"/>
      <c r="G26" s="16"/>
      <c r="H26" s="52"/>
      <c r="L26" s="52"/>
      <c r="M26" s="52"/>
    </row>
    <row r="27" spans="1:13" ht="15" customHeight="1" x14ac:dyDescent="0.25">
      <c r="A27" s="53" t="s">
        <v>443</v>
      </c>
      <c r="B27" s="64" t="s">
        <v>183</v>
      </c>
      <c r="C27" s="90" t="s">
        <v>1267</v>
      </c>
      <c r="D27" s="54"/>
      <c r="E27" s="54"/>
      <c r="F27" s="54"/>
      <c r="H27" s="52"/>
      <c r="L27" s="52"/>
      <c r="M27" s="52"/>
    </row>
    <row r="28" spans="1:13" ht="15" customHeight="1" x14ac:dyDescent="0.25">
      <c r="A28" s="90" t="s">
        <v>444</v>
      </c>
      <c r="B28" s="64" t="s">
        <v>184</v>
      </c>
      <c r="C28" s="90" t="s">
        <v>1267</v>
      </c>
      <c r="D28" s="54"/>
      <c r="E28" s="54"/>
      <c r="F28" s="54"/>
      <c r="H28" s="52"/>
      <c r="L28" s="52"/>
      <c r="M28" s="52"/>
    </row>
    <row r="29" spans="1:13" ht="15" customHeight="1" x14ac:dyDescent="0.25">
      <c r="A29" s="90" t="s">
        <v>445</v>
      </c>
      <c r="B29" s="64" t="s">
        <v>38</v>
      </c>
      <c r="C29" s="90" t="s">
        <v>186</v>
      </c>
      <c r="E29" s="54"/>
      <c r="F29" s="54"/>
      <c r="H29" s="52"/>
      <c r="L29" s="52"/>
      <c r="M29" s="52"/>
    </row>
    <row r="30" spans="1:13" ht="15" customHeight="1" outlineLevel="1" x14ac:dyDescent="0.25">
      <c r="A30" s="90" t="s">
        <v>446</v>
      </c>
      <c r="B30" s="91" t="s">
        <v>1268</v>
      </c>
      <c r="C30" s="90">
        <v>2</v>
      </c>
      <c r="E30" s="54"/>
      <c r="F30" s="54"/>
      <c r="H30" s="52"/>
      <c r="L30" s="52"/>
      <c r="M30" s="52"/>
    </row>
    <row r="31" spans="1:13" ht="15" customHeight="1" outlineLevel="1" x14ac:dyDescent="0.25">
      <c r="A31" s="90" t="s">
        <v>447</v>
      </c>
      <c r="B31" s="91" t="s">
        <v>1269</v>
      </c>
      <c r="C31" s="90" t="s">
        <v>1270</v>
      </c>
      <c r="E31" s="54"/>
      <c r="F31" s="54"/>
      <c r="H31" s="52"/>
      <c r="L31" s="52"/>
      <c r="M31" s="52"/>
    </row>
    <row r="32" spans="1:13" ht="15" customHeight="1" outlineLevel="1" x14ac:dyDescent="0.25">
      <c r="A32" s="90" t="s">
        <v>448</v>
      </c>
      <c r="B32" s="91" t="s">
        <v>1271</v>
      </c>
      <c r="C32" s="90" t="s">
        <v>1272</v>
      </c>
      <c r="E32" s="54"/>
      <c r="F32" s="54"/>
      <c r="H32" s="52"/>
      <c r="L32" s="52"/>
      <c r="M32" s="52"/>
    </row>
    <row r="33" spans="1:13" ht="15" customHeight="1" outlineLevel="1" x14ac:dyDescent="0.25">
      <c r="A33" s="90" t="s">
        <v>449</v>
      </c>
      <c r="B33" s="64"/>
      <c r="C33" s="90"/>
      <c r="E33" s="54"/>
      <c r="F33" s="54"/>
      <c r="H33" s="52"/>
      <c r="L33" s="52"/>
      <c r="M33" s="52"/>
    </row>
    <row r="34" spans="1:13" ht="15" customHeight="1" outlineLevel="1" x14ac:dyDescent="0.25">
      <c r="A34" s="90" t="s">
        <v>450</v>
      </c>
      <c r="B34" s="64"/>
      <c r="E34" s="54"/>
      <c r="F34" s="54"/>
      <c r="H34" s="52"/>
      <c r="L34" s="52"/>
      <c r="M34" s="52"/>
    </row>
    <row r="35" spans="1:13" ht="15" customHeight="1" outlineLevel="1" x14ac:dyDescent="0.25">
      <c r="A35" s="90" t="s">
        <v>451</v>
      </c>
      <c r="B35" s="12"/>
      <c r="E35" s="54"/>
      <c r="F35" s="54"/>
      <c r="H35" s="52"/>
      <c r="L35" s="52"/>
      <c r="M35" s="52"/>
    </row>
    <row r="36" spans="1:13" ht="18.75" customHeight="1" x14ac:dyDescent="0.25">
      <c r="A36" s="18"/>
      <c r="B36" s="18" t="s">
        <v>60</v>
      </c>
      <c r="C36" s="18"/>
      <c r="D36" s="15"/>
      <c r="E36" s="15"/>
      <c r="F36" s="15"/>
      <c r="G36" s="16"/>
      <c r="H36" s="52"/>
      <c r="L36" s="52"/>
      <c r="M36" s="52"/>
    </row>
    <row r="37" spans="1:13" ht="15" customHeight="1" x14ac:dyDescent="0.25">
      <c r="A37" s="58"/>
      <c r="B37" s="60" t="s">
        <v>683</v>
      </c>
      <c r="C37" s="58" t="s">
        <v>82</v>
      </c>
      <c r="D37" s="58"/>
      <c r="E37" s="46"/>
      <c r="F37" s="59"/>
      <c r="G37" s="59"/>
      <c r="H37" s="52"/>
      <c r="L37" s="52"/>
      <c r="M37" s="52"/>
    </row>
    <row r="38" spans="1:13" ht="15" customHeight="1" x14ac:dyDescent="0.25">
      <c r="A38" s="53" t="s">
        <v>452</v>
      </c>
      <c r="B38" s="54" t="s">
        <v>132</v>
      </c>
      <c r="C38" s="113">
        <v>9265639331.6200008</v>
      </c>
      <c r="F38" s="54"/>
      <c r="H38" s="52"/>
      <c r="I38" s="90"/>
      <c r="L38" s="52"/>
      <c r="M38" s="52"/>
    </row>
    <row r="39" spans="1:13" ht="15" customHeight="1" x14ac:dyDescent="0.25">
      <c r="A39" s="90" t="s">
        <v>453</v>
      </c>
      <c r="B39" s="54" t="s">
        <v>133</v>
      </c>
      <c r="C39" s="113">
        <v>6176203650</v>
      </c>
      <c r="F39" s="54"/>
      <c r="H39" s="52"/>
      <c r="L39" s="52"/>
      <c r="M39" s="52"/>
    </row>
    <row r="40" spans="1:13" ht="15" hidden="1" customHeight="1" outlineLevel="1" x14ac:dyDescent="0.25">
      <c r="A40" s="90" t="s">
        <v>454</v>
      </c>
      <c r="B40" s="71" t="s">
        <v>233</v>
      </c>
      <c r="C40" s="113" t="s">
        <v>185</v>
      </c>
      <c r="F40" s="54"/>
      <c r="H40" s="52"/>
      <c r="L40" s="52"/>
      <c r="M40" s="52"/>
    </row>
    <row r="41" spans="1:13" ht="15" hidden="1" customHeight="1" outlineLevel="1" x14ac:dyDescent="0.25">
      <c r="A41" s="90" t="s">
        <v>455</v>
      </c>
      <c r="B41" s="71" t="s">
        <v>234</v>
      </c>
      <c r="C41" s="113" t="s">
        <v>185</v>
      </c>
      <c r="F41" s="54"/>
      <c r="H41" s="52"/>
      <c r="L41" s="52"/>
      <c r="M41" s="52"/>
    </row>
    <row r="42" spans="1:13" ht="15" hidden="1" customHeight="1" outlineLevel="1" x14ac:dyDescent="0.25">
      <c r="A42" s="90" t="s">
        <v>456</v>
      </c>
      <c r="B42" s="54"/>
      <c r="C42" s="113"/>
      <c r="F42" s="54"/>
      <c r="H42" s="52"/>
      <c r="L42" s="52"/>
      <c r="M42" s="52"/>
    </row>
    <row r="43" spans="1:13" ht="15" hidden="1" customHeight="1" outlineLevel="1" x14ac:dyDescent="0.25">
      <c r="A43" s="90" t="s">
        <v>457</v>
      </c>
      <c r="B43" s="54"/>
      <c r="C43" s="113"/>
      <c r="F43" s="54"/>
      <c r="H43" s="52"/>
      <c r="L43" s="52"/>
      <c r="M43" s="52"/>
    </row>
    <row r="44" spans="1:13" ht="15" customHeight="1" collapsed="1" x14ac:dyDescent="0.25">
      <c r="A44" s="58"/>
      <c r="B44" s="60" t="s">
        <v>684</v>
      </c>
      <c r="C44" s="58" t="s">
        <v>26</v>
      </c>
      <c r="D44" s="58" t="s">
        <v>27</v>
      </c>
      <c r="E44" s="46"/>
      <c r="F44" s="59" t="s">
        <v>129</v>
      </c>
      <c r="G44" s="59" t="s">
        <v>160</v>
      </c>
      <c r="H44" s="52"/>
      <c r="L44" s="52"/>
      <c r="M44" s="52"/>
    </row>
    <row r="45" spans="1:13" ht="15" customHeight="1" x14ac:dyDescent="0.25">
      <c r="A45" s="90" t="s">
        <v>458</v>
      </c>
      <c r="B45" s="90" t="s">
        <v>235</v>
      </c>
      <c r="C45" s="47">
        <v>0.1</v>
      </c>
      <c r="D45" s="47">
        <f>C38/C39-1</f>
        <v>0.50021596707226457</v>
      </c>
      <c r="E45" s="90"/>
      <c r="F45" s="47" t="s">
        <v>186</v>
      </c>
      <c r="G45" s="47" t="s">
        <v>186</v>
      </c>
      <c r="H45" s="52"/>
      <c r="L45" s="52"/>
      <c r="M45" s="52"/>
    </row>
    <row r="46" spans="1:13" ht="15" hidden="1" customHeight="1" outlineLevel="1" x14ac:dyDescent="0.25">
      <c r="A46" s="90" t="s">
        <v>459</v>
      </c>
      <c r="B46" s="90" t="s">
        <v>217</v>
      </c>
      <c r="C46" s="90"/>
      <c r="D46" s="90"/>
      <c r="E46" s="90"/>
      <c r="F46" s="90"/>
      <c r="G46" s="90"/>
      <c r="H46" s="52"/>
      <c r="L46" s="52"/>
      <c r="M46" s="52"/>
    </row>
    <row r="47" spans="1:13" ht="15" hidden="1" customHeight="1" outlineLevel="1" x14ac:dyDescent="0.25">
      <c r="A47" s="90" t="s">
        <v>460</v>
      </c>
      <c r="B47" s="49" t="s">
        <v>218</v>
      </c>
      <c r="D47" s="90"/>
      <c r="E47" s="90"/>
      <c r="F47" s="90"/>
      <c r="G47" s="90"/>
      <c r="H47" s="52"/>
      <c r="L47" s="52"/>
      <c r="M47" s="52"/>
    </row>
    <row r="48" spans="1:13" ht="15" hidden="1" customHeight="1" outlineLevel="1" x14ac:dyDescent="0.25">
      <c r="A48" s="90" t="s">
        <v>461</v>
      </c>
      <c r="B48" s="91"/>
      <c r="D48" s="90"/>
      <c r="E48" s="90"/>
      <c r="F48" s="90"/>
      <c r="G48" s="90"/>
      <c r="H48" s="52"/>
      <c r="L48" s="52"/>
      <c r="M48" s="52"/>
    </row>
    <row r="49" spans="1:14" ht="15" hidden="1" customHeight="1" outlineLevel="1" x14ac:dyDescent="0.25">
      <c r="A49" s="90" t="s">
        <v>462</v>
      </c>
      <c r="B49" s="49"/>
      <c r="G49" s="53"/>
      <c r="H49" s="52"/>
      <c r="L49" s="52"/>
      <c r="M49" s="52"/>
    </row>
    <row r="50" spans="1:14" ht="15" hidden="1" customHeight="1" outlineLevel="1" x14ac:dyDescent="0.25">
      <c r="A50" s="90" t="s">
        <v>463</v>
      </c>
      <c r="B50" s="49"/>
      <c r="G50" s="53"/>
      <c r="H50" s="52"/>
      <c r="L50" s="52"/>
      <c r="M50" s="52"/>
    </row>
    <row r="51" spans="1:14" ht="15" hidden="1" customHeight="1" outlineLevel="1" x14ac:dyDescent="0.25">
      <c r="A51" s="90" t="s">
        <v>464</v>
      </c>
      <c r="B51" s="49"/>
      <c r="G51" s="53"/>
      <c r="H51" s="52"/>
      <c r="L51" s="52"/>
      <c r="M51" s="52"/>
    </row>
    <row r="52" spans="1:14" ht="15" customHeight="1" collapsed="1" x14ac:dyDescent="0.25">
      <c r="A52" s="58"/>
      <c r="B52" s="60" t="s">
        <v>685</v>
      </c>
      <c r="C52" s="58" t="s">
        <v>82</v>
      </c>
      <c r="D52" s="58"/>
      <c r="E52" s="46"/>
      <c r="F52" s="59" t="s">
        <v>145</v>
      </c>
      <c r="G52" s="59"/>
      <c r="H52" s="52"/>
      <c r="L52" s="52"/>
      <c r="M52" s="52"/>
    </row>
    <row r="53" spans="1:14" s="116" customFormat="1" ht="15" customHeight="1" x14ac:dyDescent="0.25">
      <c r="A53" s="113" t="s">
        <v>465</v>
      </c>
      <c r="B53" s="114" t="s">
        <v>32</v>
      </c>
      <c r="C53" s="113">
        <v>9056660405.9300003</v>
      </c>
      <c r="D53" s="113"/>
      <c r="E53" s="114"/>
      <c r="F53" s="47">
        <f>IF($C$58=0,"",IF(C53="[for completion]","",C53/$C$58))</f>
        <v>0.97744581693603838</v>
      </c>
      <c r="G53" s="47"/>
      <c r="H53" s="115"/>
      <c r="I53" s="113"/>
      <c r="J53" s="113"/>
      <c r="K53" s="113"/>
      <c r="L53" s="115"/>
      <c r="M53" s="115"/>
      <c r="N53" s="115"/>
    </row>
    <row r="54" spans="1:14" s="116" customFormat="1" ht="15" customHeight="1" x14ac:dyDescent="0.25">
      <c r="A54" s="113" t="s">
        <v>466</v>
      </c>
      <c r="B54" s="114" t="s">
        <v>182</v>
      </c>
      <c r="C54" s="113">
        <v>0</v>
      </c>
      <c r="D54" s="113"/>
      <c r="E54" s="114"/>
      <c r="F54" s="47">
        <f>IF($C$58=0,"",IF(C54="[for completion]","",C54/$C$58))</f>
        <v>0</v>
      </c>
      <c r="G54" s="47"/>
      <c r="H54" s="115"/>
      <c r="I54" s="113"/>
      <c r="J54" s="113"/>
      <c r="K54" s="113"/>
      <c r="L54" s="115"/>
      <c r="M54" s="115"/>
      <c r="N54" s="115"/>
    </row>
    <row r="55" spans="1:14" s="116" customFormat="1" ht="15" customHeight="1" x14ac:dyDescent="0.25">
      <c r="A55" s="113" t="s">
        <v>467</v>
      </c>
      <c r="B55" s="114" t="s">
        <v>155</v>
      </c>
      <c r="C55" s="113">
        <v>0</v>
      </c>
      <c r="D55" s="113"/>
      <c r="E55" s="114"/>
      <c r="F55" s="47">
        <f>IF($C$58=0,"",IF(C55="[for completion]","",C55/$C$58))</f>
        <v>0</v>
      </c>
      <c r="G55" s="47"/>
      <c r="H55" s="115"/>
      <c r="I55" s="113"/>
      <c r="J55" s="113"/>
      <c r="K55" s="113"/>
      <c r="L55" s="115"/>
      <c r="M55" s="115"/>
      <c r="N55" s="115"/>
    </row>
    <row r="56" spans="1:14" s="116" customFormat="1" ht="15" customHeight="1" x14ac:dyDescent="0.25">
      <c r="A56" s="113" t="s">
        <v>468</v>
      </c>
      <c r="B56" s="114" t="s">
        <v>53</v>
      </c>
      <c r="C56" s="113">
        <v>208978925.69</v>
      </c>
      <c r="D56" s="113"/>
      <c r="E56" s="114"/>
      <c r="F56" s="47">
        <f>IF($C$58=0,"",IF(C56="[for completion]","",C56/$C$58))</f>
        <v>2.2554183063961567E-2</v>
      </c>
      <c r="G56" s="47"/>
      <c r="H56" s="115"/>
      <c r="I56" s="113"/>
      <c r="J56" s="113"/>
      <c r="K56" s="113"/>
      <c r="L56" s="115"/>
      <c r="M56" s="115"/>
      <c r="N56" s="115"/>
    </row>
    <row r="57" spans="1:14" s="116" customFormat="1" ht="15" customHeight="1" x14ac:dyDescent="0.25">
      <c r="A57" s="113" t="s">
        <v>469</v>
      </c>
      <c r="B57" s="113" t="s">
        <v>2</v>
      </c>
      <c r="C57" s="113">
        <v>0</v>
      </c>
      <c r="D57" s="113"/>
      <c r="E57" s="114"/>
      <c r="F57" s="47">
        <f>IF($C$58=0,"",IF(C57="[for completion]","",C57/$C$58))</f>
        <v>0</v>
      </c>
      <c r="G57" s="47"/>
      <c r="H57" s="115"/>
      <c r="I57" s="113"/>
      <c r="J57" s="113"/>
      <c r="K57" s="113"/>
      <c r="L57" s="115"/>
      <c r="M57" s="115"/>
      <c r="N57" s="115"/>
    </row>
    <row r="58" spans="1:14" ht="15" customHeight="1" x14ac:dyDescent="0.25">
      <c r="A58" s="90" t="s">
        <v>470</v>
      </c>
      <c r="B58" s="56" t="s">
        <v>1</v>
      </c>
      <c r="C58" s="113">
        <f>SUM(C53:C57)</f>
        <v>9265639331.6200008</v>
      </c>
      <c r="D58" s="55"/>
      <c r="E58" s="55"/>
      <c r="F58" s="47">
        <f>SUM(F53:F57)</f>
        <v>1</v>
      </c>
      <c r="G58" s="47"/>
      <c r="H58" s="52"/>
      <c r="I58" s="113"/>
      <c r="L58" s="52"/>
      <c r="M58" s="52"/>
    </row>
    <row r="59" spans="1:14" ht="15" hidden="1" customHeight="1" outlineLevel="1" x14ac:dyDescent="0.25">
      <c r="A59" s="90" t="s">
        <v>1068</v>
      </c>
      <c r="B59" s="67" t="s">
        <v>154</v>
      </c>
      <c r="C59" s="113"/>
      <c r="D59" s="90"/>
      <c r="E59" s="55"/>
      <c r="F59" s="47" t="str">
        <f t="shared" ref="F59:F64" si="0">IF($C$58=0,"",IF(C59="","",C59/$C$58))</f>
        <v/>
      </c>
      <c r="G59" s="47"/>
      <c r="H59" s="52"/>
      <c r="I59" s="113"/>
      <c r="J59" s="90"/>
      <c r="K59" s="90"/>
      <c r="L59" s="52"/>
      <c r="M59" s="52"/>
    </row>
    <row r="60" spans="1:14" ht="15" hidden="1" customHeight="1" outlineLevel="1" x14ac:dyDescent="0.25">
      <c r="A60" s="90" t="s">
        <v>1069</v>
      </c>
      <c r="B60" s="67" t="s">
        <v>154</v>
      </c>
      <c r="C60" s="113"/>
      <c r="D60" s="90"/>
      <c r="E60" s="55"/>
      <c r="F60" s="47" t="str">
        <f t="shared" si="0"/>
        <v/>
      </c>
      <c r="G60" s="47"/>
      <c r="H60" s="52"/>
      <c r="I60" s="113"/>
      <c r="J60" s="90"/>
      <c r="K60" s="90"/>
      <c r="L60" s="52"/>
      <c r="M60" s="52"/>
    </row>
    <row r="61" spans="1:14" ht="15" hidden="1" customHeight="1" outlineLevel="1" x14ac:dyDescent="0.25">
      <c r="A61" s="90" t="s">
        <v>1070</v>
      </c>
      <c r="B61" s="67" t="s">
        <v>154</v>
      </c>
      <c r="C61" s="113"/>
      <c r="D61" s="90"/>
      <c r="E61" s="55"/>
      <c r="F61" s="47" t="str">
        <f t="shared" si="0"/>
        <v/>
      </c>
      <c r="G61" s="47"/>
      <c r="H61" s="52"/>
      <c r="I61" s="113"/>
      <c r="J61" s="90"/>
      <c r="K61" s="90"/>
      <c r="L61" s="52"/>
      <c r="M61" s="52"/>
    </row>
    <row r="62" spans="1:14" ht="15" hidden="1" customHeight="1" outlineLevel="1" x14ac:dyDescent="0.25">
      <c r="A62" s="90" t="s">
        <v>1071</v>
      </c>
      <c r="B62" s="67" t="s">
        <v>154</v>
      </c>
      <c r="C62" s="113"/>
      <c r="D62" s="90"/>
      <c r="E62" s="55"/>
      <c r="F62" s="47" t="str">
        <f t="shared" si="0"/>
        <v/>
      </c>
      <c r="G62" s="47"/>
      <c r="H62" s="52"/>
      <c r="I62" s="113"/>
      <c r="J62" s="90"/>
      <c r="K62" s="90"/>
      <c r="L62" s="52"/>
      <c r="M62" s="52"/>
    </row>
    <row r="63" spans="1:14" ht="15" hidden="1" customHeight="1" outlineLevel="1" x14ac:dyDescent="0.25">
      <c r="A63" s="90" t="s">
        <v>1072</v>
      </c>
      <c r="B63" s="67" t="s">
        <v>154</v>
      </c>
      <c r="C63" s="113"/>
      <c r="D63" s="90"/>
      <c r="E63" s="55"/>
      <c r="F63" s="47" t="str">
        <f t="shared" si="0"/>
        <v/>
      </c>
      <c r="G63" s="47"/>
      <c r="H63" s="52"/>
      <c r="I63" s="113"/>
      <c r="J63" s="90"/>
      <c r="K63" s="90"/>
      <c r="L63" s="52"/>
      <c r="M63" s="52"/>
    </row>
    <row r="64" spans="1:14" ht="15" hidden="1" customHeight="1" outlineLevel="1" x14ac:dyDescent="0.25">
      <c r="A64" s="90" t="s">
        <v>1073</v>
      </c>
      <c r="B64" s="67" t="s">
        <v>154</v>
      </c>
      <c r="C64" s="113"/>
      <c r="D64" s="51"/>
      <c r="E64" s="51"/>
      <c r="F64" s="47" t="str">
        <f t="shared" si="0"/>
        <v/>
      </c>
      <c r="G64" s="48"/>
      <c r="H64" s="52"/>
      <c r="I64" s="113"/>
      <c r="J64" s="90"/>
      <c r="K64" s="90"/>
      <c r="L64" s="52"/>
      <c r="M64" s="52"/>
    </row>
    <row r="65" spans="1:13" ht="24" customHeight="1" collapsed="1" x14ac:dyDescent="0.25">
      <c r="A65" s="58"/>
      <c r="B65" s="60" t="s">
        <v>686</v>
      </c>
      <c r="C65" s="58" t="s">
        <v>1026</v>
      </c>
      <c r="D65" s="58" t="s">
        <v>1027</v>
      </c>
      <c r="E65" s="46"/>
      <c r="F65" s="59" t="s">
        <v>1028</v>
      </c>
      <c r="G65" s="109" t="s">
        <v>1029</v>
      </c>
      <c r="H65" s="52"/>
      <c r="I65" s="113"/>
      <c r="L65" s="52"/>
      <c r="M65" s="52"/>
    </row>
    <row r="66" spans="1:13" ht="15" customHeight="1" x14ac:dyDescent="0.25">
      <c r="A66" s="90" t="s">
        <v>471</v>
      </c>
      <c r="B66" s="54" t="s">
        <v>81</v>
      </c>
      <c r="C66" s="119">
        <v>16.7</v>
      </c>
      <c r="D66" s="113" t="s">
        <v>185</v>
      </c>
      <c r="E66" s="45"/>
      <c r="F66" s="47"/>
      <c r="G66" s="47"/>
      <c r="H66" s="52"/>
      <c r="I66" s="113"/>
      <c r="L66" s="52"/>
      <c r="M66" s="52"/>
    </row>
    <row r="67" spans="1:13" ht="15" customHeight="1" x14ac:dyDescent="0.25">
      <c r="B67" s="54"/>
      <c r="C67" s="113"/>
      <c r="D67" s="113"/>
      <c r="E67" s="45"/>
      <c r="F67" s="47"/>
      <c r="G67" s="47"/>
      <c r="H67" s="52"/>
      <c r="I67" s="113"/>
      <c r="L67" s="52"/>
      <c r="M67" s="52"/>
    </row>
    <row r="68" spans="1:13" ht="15" customHeight="1" x14ac:dyDescent="0.25">
      <c r="B68" s="54" t="s">
        <v>78</v>
      </c>
      <c r="C68" s="113"/>
      <c r="D68" s="113"/>
      <c r="E68" s="45"/>
      <c r="F68" s="47"/>
      <c r="G68" s="47"/>
      <c r="H68" s="52"/>
      <c r="I68" s="113"/>
      <c r="L68" s="52"/>
      <c r="M68" s="52"/>
    </row>
    <row r="69" spans="1:13" ht="15" customHeight="1" x14ac:dyDescent="0.25">
      <c r="A69" s="90" t="s">
        <v>472</v>
      </c>
      <c r="B69" s="7" t="s">
        <v>11</v>
      </c>
      <c r="C69" s="113">
        <v>408757882.80000001</v>
      </c>
      <c r="D69" s="113" t="s">
        <v>185</v>
      </c>
      <c r="E69" s="7"/>
      <c r="F69" s="47">
        <f t="shared" ref="F69:F75" si="1">IF($C$76=0,"",IF(C69="[for completion]","",C69/$C$76))</f>
        <v>4.4115453685432092E-2</v>
      </c>
      <c r="G69" s="47" t="str">
        <f t="shared" ref="G69:G81" si="2">IF($D$76=0,"",IF(D69="ND1","",D69/$D$76))</f>
        <v/>
      </c>
      <c r="H69" s="52"/>
      <c r="I69" s="113"/>
      <c r="L69" s="52"/>
      <c r="M69" s="52"/>
    </row>
    <row r="70" spans="1:13" ht="15" customHeight="1" x14ac:dyDescent="0.25">
      <c r="A70" s="90" t="s">
        <v>473</v>
      </c>
      <c r="B70" s="7" t="s">
        <v>5</v>
      </c>
      <c r="C70" s="113">
        <v>506445296.14999998</v>
      </c>
      <c r="D70" s="113" t="s">
        <v>185</v>
      </c>
      <c r="E70" s="7"/>
      <c r="F70" s="47">
        <f t="shared" si="1"/>
        <v>5.4658429712637367E-2</v>
      </c>
      <c r="G70" s="47" t="str">
        <f t="shared" si="2"/>
        <v/>
      </c>
      <c r="H70" s="52"/>
      <c r="I70" s="113"/>
      <c r="L70" s="52"/>
      <c r="M70" s="52"/>
    </row>
    <row r="71" spans="1:13" ht="15" customHeight="1" x14ac:dyDescent="0.25">
      <c r="A71" s="90" t="s">
        <v>474</v>
      </c>
      <c r="B71" s="7" t="s">
        <v>6</v>
      </c>
      <c r="C71" s="113">
        <v>696000240.66999996</v>
      </c>
      <c r="D71" s="113" t="s">
        <v>185</v>
      </c>
      <c r="E71" s="7"/>
      <c r="F71" s="47">
        <f t="shared" si="1"/>
        <v>7.5116267292514152E-2</v>
      </c>
      <c r="G71" s="47" t="str">
        <f t="shared" si="2"/>
        <v/>
      </c>
      <c r="H71" s="52"/>
      <c r="L71" s="52"/>
      <c r="M71" s="52"/>
    </row>
    <row r="72" spans="1:13" ht="15" customHeight="1" x14ac:dyDescent="0.25">
      <c r="A72" s="90" t="s">
        <v>475</v>
      </c>
      <c r="B72" s="7" t="s">
        <v>7</v>
      </c>
      <c r="C72" s="113">
        <v>547398405.53999996</v>
      </c>
      <c r="D72" s="113" t="s">
        <v>185</v>
      </c>
      <c r="E72" s="7"/>
      <c r="F72" s="47">
        <f t="shared" si="1"/>
        <v>5.9078320011004909E-2</v>
      </c>
      <c r="G72" s="47" t="str">
        <f t="shared" si="2"/>
        <v/>
      </c>
      <c r="H72" s="52"/>
      <c r="L72" s="52"/>
      <c r="M72" s="52"/>
    </row>
    <row r="73" spans="1:13" ht="15" customHeight="1" x14ac:dyDescent="0.25">
      <c r="A73" s="90" t="s">
        <v>476</v>
      </c>
      <c r="B73" s="7" t="s">
        <v>8</v>
      </c>
      <c r="C73" s="113">
        <v>841473015.02999997</v>
      </c>
      <c r="D73" s="113" t="s">
        <v>185</v>
      </c>
      <c r="E73" s="7"/>
      <c r="F73" s="47">
        <f t="shared" si="1"/>
        <v>9.0816508706353605E-2</v>
      </c>
      <c r="G73" s="47" t="str">
        <f t="shared" si="2"/>
        <v/>
      </c>
      <c r="H73" s="52"/>
      <c r="L73" s="52"/>
      <c r="M73" s="52"/>
    </row>
    <row r="74" spans="1:13" ht="15" customHeight="1" x14ac:dyDescent="0.25">
      <c r="A74" s="90" t="s">
        <v>477</v>
      </c>
      <c r="B74" s="7" t="s">
        <v>9</v>
      </c>
      <c r="C74" s="113">
        <v>2289074590.4499998</v>
      </c>
      <c r="D74" s="113" t="s">
        <v>185</v>
      </c>
      <c r="E74" s="7"/>
      <c r="F74" s="47">
        <f t="shared" si="1"/>
        <v>0.24704982662537756</v>
      </c>
      <c r="G74" s="47" t="str">
        <f t="shared" si="2"/>
        <v/>
      </c>
      <c r="H74" s="52"/>
      <c r="L74" s="52"/>
      <c r="M74" s="52"/>
    </row>
    <row r="75" spans="1:13" ht="15" customHeight="1" x14ac:dyDescent="0.25">
      <c r="A75" s="90" t="s">
        <v>478</v>
      </c>
      <c r="B75" s="7" t="s">
        <v>10</v>
      </c>
      <c r="C75" s="113">
        <v>3976489900.98</v>
      </c>
      <c r="D75" s="113" t="s">
        <v>185</v>
      </c>
      <c r="E75" s="7"/>
      <c r="F75" s="47">
        <f t="shared" si="1"/>
        <v>0.4291651939666804</v>
      </c>
      <c r="G75" s="47" t="str">
        <f t="shared" si="2"/>
        <v/>
      </c>
      <c r="H75" s="52"/>
      <c r="L75" s="52"/>
      <c r="M75" s="52"/>
    </row>
    <row r="76" spans="1:13" ht="15" customHeight="1" x14ac:dyDescent="0.25">
      <c r="A76" s="90" t="s">
        <v>479</v>
      </c>
      <c r="B76" s="8" t="s">
        <v>1</v>
      </c>
      <c r="C76" s="113">
        <f>SUM(C69:C75)</f>
        <v>9265639331.6199989</v>
      </c>
      <c r="D76" s="113" t="s">
        <v>185</v>
      </c>
      <c r="E76" s="54"/>
      <c r="F76" s="47">
        <f>SUM(F69:F75)</f>
        <v>1</v>
      </c>
      <c r="G76" s="47" t="str">
        <f t="shared" si="2"/>
        <v/>
      </c>
      <c r="H76" s="52"/>
      <c r="I76" s="127"/>
      <c r="L76" s="52"/>
      <c r="M76" s="52"/>
    </row>
    <row r="77" spans="1:13" ht="15" customHeight="1" outlineLevel="1" x14ac:dyDescent="0.25">
      <c r="A77" s="90" t="s">
        <v>480</v>
      </c>
      <c r="B77" s="65" t="s">
        <v>40</v>
      </c>
      <c r="C77" s="113">
        <v>0</v>
      </c>
      <c r="D77" s="113" t="s">
        <v>185</v>
      </c>
      <c r="E77" s="54"/>
      <c r="F77" s="47">
        <f>IF($C$76=0,"",IF(C77="[for completion]","",C77/$C$76))</f>
        <v>0</v>
      </c>
      <c r="G77" s="47" t="str">
        <f t="shared" si="2"/>
        <v/>
      </c>
      <c r="H77" s="52"/>
      <c r="L77" s="52"/>
      <c r="M77" s="52"/>
    </row>
    <row r="78" spans="1:13" ht="15" customHeight="1" outlineLevel="1" x14ac:dyDescent="0.25">
      <c r="A78" s="90" t="s">
        <v>481</v>
      </c>
      <c r="B78" s="65" t="s">
        <v>41</v>
      </c>
      <c r="C78" s="113">
        <v>200471578.99000001</v>
      </c>
      <c r="D78" s="113" t="s">
        <v>185</v>
      </c>
      <c r="E78" s="54"/>
      <c r="F78" s="47">
        <f>IF($C$76=0,"",IF(C78="[for completion]","",C78/$C$76))</f>
        <v>2.1636022277045579E-2</v>
      </c>
      <c r="G78" s="47" t="str">
        <f t="shared" si="2"/>
        <v/>
      </c>
      <c r="H78" s="52"/>
      <c r="L78" s="52"/>
      <c r="M78" s="52"/>
    </row>
    <row r="79" spans="1:13" ht="15" customHeight="1" outlineLevel="1" x14ac:dyDescent="0.25">
      <c r="A79" s="90" t="s">
        <v>482</v>
      </c>
      <c r="B79" s="65" t="s">
        <v>42</v>
      </c>
      <c r="C79" s="113">
        <v>208286303.81</v>
      </c>
      <c r="D79" s="113" t="s">
        <v>185</v>
      </c>
      <c r="E79" s="54"/>
      <c r="F79" s="47">
        <f>IF($C$76=0,"",IF(C79="[for completion]","",C79/$C$76))</f>
        <v>2.247943140838651E-2</v>
      </c>
      <c r="G79" s="47" t="str">
        <f t="shared" si="2"/>
        <v/>
      </c>
      <c r="H79" s="52"/>
      <c r="L79" s="52"/>
      <c r="M79" s="52"/>
    </row>
    <row r="80" spans="1:13" ht="15" customHeight="1" outlineLevel="1" x14ac:dyDescent="0.25">
      <c r="A80" s="90" t="s">
        <v>483</v>
      </c>
      <c r="B80" s="65" t="s">
        <v>44</v>
      </c>
      <c r="C80" s="113">
        <v>280381324.48000002</v>
      </c>
      <c r="D80" s="113" t="s">
        <v>185</v>
      </c>
      <c r="E80" s="54"/>
      <c r="F80" s="47">
        <f>IF($C$76=0,"",IF(C80="[for completion]","",C80/$C$76))</f>
        <v>3.0260332228038311E-2</v>
      </c>
      <c r="G80" s="47" t="str">
        <f t="shared" si="2"/>
        <v/>
      </c>
      <c r="H80" s="52"/>
      <c r="L80" s="52"/>
      <c r="M80" s="52"/>
    </row>
    <row r="81" spans="1:13" ht="15" customHeight="1" outlineLevel="1" x14ac:dyDescent="0.25">
      <c r="A81" s="90" t="s">
        <v>484</v>
      </c>
      <c r="B81" s="65" t="s">
        <v>45</v>
      </c>
      <c r="C81" s="113">
        <v>226063971.66999999</v>
      </c>
      <c r="D81" s="113" t="s">
        <v>185</v>
      </c>
      <c r="E81" s="54"/>
      <c r="F81" s="47">
        <f>IF($C$76=0,"",IF(C81="[for completion]","",C81/$C$76))</f>
        <v>2.4398097484599056E-2</v>
      </c>
      <c r="G81" s="47" t="str">
        <f t="shared" si="2"/>
        <v/>
      </c>
      <c r="H81" s="52"/>
      <c r="L81" s="52"/>
      <c r="M81" s="52"/>
    </row>
    <row r="82" spans="1:13" ht="15" customHeight="1" outlineLevel="1" x14ac:dyDescent="0.25">
      <c r="A82" s="90" t="s">
        <v>485</v>
      </c>
      <c r="B82" s="65"/>
      <c r="C82" s="113"/>
      <c r="D82" s="113"/>
      <c r="E82" s="54"/>
      <c r="F82" s="47"/>
      <c r="G82" s="47" t="str">
        <f>IF($D$76=0,"",IF(D82="","",D82/$D$76))</f>
        <v/>
      </c>
      <c r="H82" s="52"/>
      <c r="L82" s="52"/>
      <c r="M82" s="52"/>
    </row>
    <row r="83" spans="1:13" ht="15" customHeight="1" outlineLevel="1" x14ac:dyDescent="0.25">
      <c r="A83" s="90" t="s">
        <v>486</v>
      </c>
      <c r="B83" s="65"/>
      <c r="C83" s="113"/>
      <c r="D83" s="113"/>
      <c r="E83" s="54"/>
      <c r="F83" s="47"/>
      <c r="G83" s="47" t="str">
        <f>IF($D$76=0,"",IF(D83="","",D83/$D$76))</f>
        <v/>
      </c>
      <c r="H83" s="52"/>
      <c r="L83" s="52"/>
      <c r="M83" s="52"/>
    </row>
    <row r="84" spans="1:13" ht="15" customHeight="1" outlineLevel="1" x14ac:dyDescent="0.25">
      <c r="A84" s="90" t="s">
        <v>487</v>
      </c>
      <c r="B84" s="65"/>
      <c r="C84" s="113"/>
      <c r="D84" s="113"/>
      <c r="E84" s="54"/>
      <c r="F84" s="47"/>
      <c r="G84" s="47" t="str">
        <f>IF($D$76=0,"",IF(D84="","",D84/$D$76))</f>
        <v/>
      </c>
      <c r="H84" s="52"/>
      <c r="L84" s="52"/>
      <c r="M84" s="52"/>
    </row>
    <row r="85" spans="1:13" ht="15" customHeight="1" outlineLevel="1" x14ac:dyDescent="0.25">
      <c r="A85" s="90" t="s">
        <v>488</v>
      </c>
      <c r="B85" s="8"/>
      <c r="C85" s="113"/>
      <c r="D85" s="113"/>
      <c r="E85" s="54"/>
      <c r="F85" s="47"/>
      <c r="G85" s="47" t="str">
        <f>IF($D$76=0,"",IF(D85="","",D85/$D$76))</f>
        <v/>
      </c>
      <c r="H85" s="52"/>
      <c r="L85" s="52"/>
      <c r="M85" s="52"/>
    </row>
    <row r="86" spans="1:13" ht="15" customHeight="1" outlineLevel="1" x14ac:dyDescent="0.25">
      <c r="A86" s="90" t="s">
        <v>489</v>
      </c>
      <c r="B86" s="65"/>
      <c r="C86" s="113"/>
      <c r="D86" s="113"/>
      <c r="E86" s="54"/>
      <c r="F86" s="47"/>
      <c r="G86" s="47" t="str">
        <f>IF($D$76=0,"",IF(D86="","",D86/$D$76))</f>
        <v/>
      </c>
      <c r="H86" s="52"/>
      <c r="L86" s="52"/>
      <c r="M86" s="52"/>
    </row>
    <row r="87" spans="1:13" ht="15" customHeight="1" x14ac:dyDescent="0.25">
      <c r="A87" s="58"/>
      <c r="B87" s="60" t="s">
        <v>687</v>
      </c>
      <c r="C87" s="58" t="s">
        <v>1030</v>
      </c>
      <c r="D87" s="58" t="s">
        <v>1024</v>
      </c>
      <c r="E87" s="46"/>
      <c r="F87" s="59" t="s">
        <v>1031</v>
      </c>
      <c r="G87" s="58" t="s">
        <v>1025</v>
      </c>
      <c r="H87" s="52"/>
      <c r="L87" s="52"/>
      <c r="M87" s="52"/>
    </row>
    <row r="88" spans="1:13" ht="15" customHeight="1" x14ac:dyDescent="0.25">
      <c r="A88" s="90" t="s">
        <v>490</v>
      </c>
      <c r="B88" s="54" t="s">
        <v>81</v>
      </c>
      <c r="C88" s="119">
        <v>3.98</v>
      </c>
      <c r="D88" s="119" t="s">
        <v>186</v>
      </c>
      <c r="E88" s="45"/>
      <c r="F88" s="47"/>
      <c r="G88" s="47"/>
      <c r="H88" s="52"/>
      <c r="L88" s="52"/>
      <c r="M88" s="52"/>
    </row>
    <row r="89" spans="1:13" ht="15" customHeight="1" x14ac:dyDescent="0.25">
      <c r="B89" s="54"/>
      <c r="C89" s="113"/>
      <c r="D89" s="113"/>
      <c r="E89" s="45"/>
      <c r="F89" s="47"/>
      <c r="G89" s="47"/>
      <c r="H89" s="52"/>
      <c r="L89" s="52"/>
      <c r="M89" s="52"/>
    </row>
    <row r="90" spans="1:13" ht="15" customHeight="1" x14ac:dyDescent="0.25">
      <c r="A90" s="90" t="s">
        <v>491</v>
      </c>
      <c r="B90" s="54" t="s">
        <v>78</v>
      </c>
      <c r="C90" s="113"/>
      <c r="D90" s="113"/>
      <c r="E90" s="45"/>
      <c r="F90" s="47"/>
      <c r="G90" s="47"/>
      <c r="H90" s="52"/>
      <c r="L90" s="52"/>
      <c r="M90" s="52"/>
    </row>
    <row r="91" spans="1:13" ht="15" customHeight="1" x14ac:dyDescent="0.25">
      <c r="A91" s="90" t="s">
        <v>492</v>
      </c>
      <c r="B91" s="7" t="s">
        <v>11</v>
      </c>
      <c r="C91" s="113">
        <v>494595000</v>
      </c>
      <c r="D91" s="113" t="s">
        <v>186</v>
      </c>
      <c r="E91" s="7"/>
      <c r="F91" s="47">
        <f t="shared" ref="F91:F97" si="3">IF($C$98=0,"",IF(C91="[for completion]","",C91/$C$98))</f>
        <v>8.008074668975658E-2</v>
      </c>
      <c r="G91" s="47"/>
      <c r="H91" s="52"/>
      <c r="L91" s="52"/>
      <c r="M91" s="52"/>
    </row>
    <row r="92" spans="1:13" ht="15" customHeight="1" x14ac:dyDescent="0.25">
      <c r="A92" s="90" t="s">
        <v>493</v>
      </c>
      <c r="B92" s="7" t="s">
        <v>5</v>
      </c>
      <c r="C92" s="113">
        <v>440425000</v>
      </c>
      <c r="D92" s="113" t="s">
        <v>186</v>
      </c>
      <c r="E92" s="7"/>
      <c r="F92" s="47">
        <f t="shared" si="3"/>
        <v>7.1309986677657561E-2</v>
      </c>
      <c r="G92" s="47"/>
      <c r="H92" s="52"/>
      <c r="L92" s="52"/>
      <c r="M92" s="52"/>
    </row>
    <row r="93" spans="1:13" ht="15" customHeight="1" x14ac:dyDescent="0.25">
      <c r="A93" s="90" t="s">
        <v>494</v>
      </c>
      <c r="B93" s="7" t="s">
        <v>6</v>
      </c>
      <c r="C93" s="113">
        <v>1286680000</v>
      </c>
      <c r="D93" s="113" t="s">
        <v>186</v>
      </c>
      <c r="E93" s="7"/>
      <c r="F93" s="47">
        <f t="shared" si="3"/>
        <v>0.20832862271308039</v>
      </c>
      <c r="G93" s="47"/>
      <c r="H93" s="52"/>
      <c r="L93" s="52"/>
      <c r="M93" s="52"/>
    </row>
    <row r="94" spans="1:13" ht="15" customHeight="1" x14ac:dyDescent="0.25">
      <c r="A94" s="90" t="s">
        <v>495</v>
      </c>
      <c r="B94" s="7" t="s">
        <v>7</v>
      </c>
      <c r="C94" s="113">
        <v>549595000</v>
      </c>
      <c r="D94" s="113" t="s">
        <v>186</v>
      </c>
      <c r="E94" s="7"/>
      <c r="F94" s="47">
        <f t="shared" si="3"/>
        <v>8.8985893462240354E-2</v>
      </c>
      <c r="G94" s="47"/>
      <c r="H94" s="52"/>
      <c r="L94" s="52"/>
      <c r="M94" s="52"/>
    </row>
    <row r="95" spans="1:13" ht="15" customHeight="1" x14ac:dyDescent="0.25">
      <c r="A95" s="90" t="s">
        <v>496</v>
      </c>
      <c r="B95" s="7" t="s">
        <v>8</v>
      </c>
      <c r="C95" s="113">
        <v>1620850000</v>
      </c>
      <c r="D95" s="113" t="s">
        <v>186</v>
      </c>
      <c r="E95" s="7"/>
      <c r="F95" s="47">
        <f t="shared" si="3"/>
        <v>0.26243467538509679</v>
      </c>
      <c r="G95" s="47"/>
      <c r="H95" s="52"/>
      <c r="L95" s="52"/>
      <c r="M95" s="52"/>
    </row>
    <row r="96" spans="1:13" ht="15" customHeight="1" x14ac:dyDescent="0.25">
      <c r="A96" s="90" t="s">
        <v>497</v>
      </c>
      <c r="B96" s="7" t="s">
        <v>9</v>
      </c>
      <c r="C96" s="113">
        <v>1603093150</v>
      </c>
      <c r="D96" s="113" t="s">
        <v>186</v>
      </c>
      <c r="E96" s="7"/>
      <c r="F96" s="47">
        <f t="shared" si="3"/>
        <v>0.25955963255842446</v>
      </c>
      <c r="G96" s="47"/>
      <c r="H96" s="52"/>
      <c r="L96" s="52"/>
      <c r="M96" s="52"/>
    </row>
    <row r="97" spans="1:14" ht="15" customHeight="1" x14ac:dyDescent="0.25">
      <c r="A97" s="90" t="s">
        <v>498</v>
      </c>
      <c r="B97" s="7" t="s">
        <v>10</v>
      </c>
      <c r="C97" s="113">
        <v>180965500</v>
      </c>
      <c r="D97" s="113" t="s">
        <v>186</v>
      </c>
      <c r="E97" s="7"/>
      <c r="F97" s="47">
        <f t="shared" si="3"/>
        <v>2.9300442513743859E-2</v>
      </c>
      <c r="G97" s="47"/>
      <c r="H97" s="52"/>
      <c r="L97" s="52"/>
      <c r="M97" s="52"/>
    </row>
    <row r="98" spans="1:14" ht="15" customHeight="1" x14ac:dyDescent="0.25">
      <c r="A98" s="90" t="s">
        <v>499</v>
      </c>
      <c r="B98" s="8" t="s">
        <v>1</v>
      </c>
      <c r="C98" s="113">
        <f>SUM(C91:C97)</f>
        <v>6176203650</v>
      </c>
      <c r="D98" s="113" t="s">
        <v>186</v>
      </c>
      <c r="E98" s="54"/>
      <c r="F98" s="47">
        <f>SUM(F91:F97)</f>
        <v>0.99999999999999989</v>
      </c>
      <c r="G98" s="47"/>
      <c r="H98" s="52"/>
      <c r="L98" s="52"/>
      <c r="M98" s="52"/>
    </row>
    <row r="99" spans="1:14" ht="15" customHeight="1" outlineLevel="1" x14ac:dyDescent="0.25">
      <c r="A99" s="90" t="s">
        <v>500</v>
      </c>
      <c r="B99" s="65" t="s">
        <v>40</v>
      </c>
      <c r="C99" s="113">
        <v>0</v>
      </c>
      <c r="D99" s="113" t="s">
        <v>186</v>
      </c>
      <c r="E99" s="54"/>
      <c r="F99" s="47">
        <f>IF($C$98=0,"",IF(C99="[for completion]","",C99/$C$98))</f>
        <v>0</v>
      </c>
      <c r="G99" s="47"/>
      <c r="H99" s="52"/>
      <c r="L99" s="52"/>
      <c r="M99" s="52"/>
    </row>
    <row r="100" spans="1:14" ht="15" customHeight="1" outlineLevel="1" x14ac:dyDescent="0.25">
      <c r="A100" s="90" t="s">
        <v>501</v>
      </c>
      <c r="B100" s="65" t="s">
        <v>41</v>
      </c>
      <c r="C100" s="113">
        <v>200000000</v>
      </c>
      <c r="D100" s="113" t="s">
        <v>186</v>
      </c>
      <c r="E100" s="54"/>
      <c r="F100" s="47">
        <f>IF($C$98=0,"",IF(C100="[for completion]","",C100/$C$98))</f>
        <v>3.2382351899940993E-2</v>
      </c>
      <c r="G100" s="47"/>
      <c r="H100" s="52"/>
      <c r="L100" s="52"/>
      <c r="M100" s="52"/>
    </row>
    <row r="101" spans="1:14" ht="15" customHeight="1" outlineLevel="1" x14ac:dyDescent="0.25">
      <c r="A101" s="90" t="s">
        <v>502</v>
      </c>
      <c r="B101" s="65" t="s">
        <v>42</v>
      </c>
      <c r="C101" s="113">
        <v>294595000</v>
      </c>
      <c r="D101" s="113" t="s">
        <v>186</v>
      </c>
      <c r="E101" s="54"/>
      <c r="F101" s="47">
        <f>IF($C$98=0,"",IF(C101="[for completion]","",C101/$C$98))</f>
        <v>4.7698394789815586E-2</v>
      </c>
      <c r="G101" s="47"/>
      <c r="H101" s="52"/>
      <c r="L101" s="52"/>
      <c r="M101" s="52"/>
    </row>
    <row r="102" spans="1:14" ht="15" customHeight="1" outlineLevel="1" x14ac:dyDescent="0.25">
      <c r="A102" s="90" t="s">
        <v>503</v>
      </c>
      <c r="B102" s="65" t="s">
        <v>44</v>
      </c>
      <c r="C102" s="113">
        <v>80000000</v>
      </c>
      <c r="D102" s="113" t="s">
        <v>186</v>
      </c>
      <c r="E102" s="54"/>
      <c r="F102" s="47">
        <f>IF($C$98=0,"",IF(C102="[for completion]","",C102/$C$98))</f>
        <v>1.2952940759976397E-2</v>
      </c>
      <c r="G102" s="47"/>
      <c r="H102" s="52"/>
      <c r="L102" s="52"/>
      <c r="M102" s="52"/>
    </row>
    <row r="103" spans="1:14" ht="15" customHeight="1" outlineLevel="1" x14ac:dyDescent="0.25">
      <c r="A103" s="90" t="s">
        <v>504</v>
      </c>
      <c r="B103" s="65" t="s">
        <v>45</v>
      </c>
      <c r="C103" s="113">
        <v>360425000</v>
      </c>
      <c r="D103" s="113" t="s">
        <v>186</v>
      </c>
      <c r="E103" s="54"/>
      <c r="F103" s="47">
        <f>IF($C$98=0,"",IF(C103="[for completion]","",C103/$C$98))</f>
        <v>5.8357045917681163E-2</v>
      </c>
      <c r="G103" s="47"/>
      <c r="H103" s="52"/>
      <c r="L103" s="52"/>
      <c r="M103" s="52"/>
    </row>
    <row r="104" spans="1:14" ht="15" customHeight="1" outlineLevel="1" x14ac:dyDescent="0.25">
      <c r="A104" s="90" t="s">
        <v>505</v>
      </c>
      <c r="B104" s="65"/>
      <c r="C104" s="113"/>
      <c r="D104" s="113"/>
      <c r="E104" s="54"/>
      <c r="F104" s="47"/>
      <c r="G104" s="47"/>
      <c r="H104" s="52"/>
      <c r="L104" s="52"/>
      <c r="M104" s="52"/>
    </row>
    <row r="105" spans="1:14" ht="15" customHeight="1" outlineLevel="1" x14ac:dyDescent="0.25">
      <c r="A105" s="90" t="s">
        <v>506</v>
      </c>
      <c r="B105" s="65"/>
      <c r="C105" s="113"/>
      <c r="D105" s="113"/>
      <c r="E105" s="54"/>
      <c r="F105" s="47"/>
      <c r="G105" s="47"/>
      <c r="H105" s="52"/>
      <c r="L105" s="52"/>
      <c r="M105" s="52"/>
    </row>
    <row r="106" spans="1:14" ht="15" customHeight="1" outlineLevel="1" x14ac:dyDescent="0.25">
      <c r="A106" s="90" t="s">
        <v>507</v>
      </c>
      <c r="B106" s="8"/>
      <c r="C106" s="113"/>
      <c r="D106" s="113"/>
      <c r="E106" s="54"/>
      <c r="F106" s="47">
        <f>IF($C$98=0,"",IF(C106="[for completion]","",C106/$C$98))</f>
        <v>0</v>
      </c>
      <c r="G106" s="47"/>
      <c r="H106" s="52"/>
      <c r="L106" s="52"/>
      <c r="M106" s="52"/>
    </row>
    <row r="107" spans="1:14" ht="15" customHeight="1" outlineLevel="1" x14ac:dyDescent="0.25">
      <c r="A107" s="90" t="s">
        <v>508</v>
      </c>
      <c r="B107" s="65"/>
      <c r="C107" s="113"/>
      <c r="D107" s="113"/>
      <c r="E107" s="54"/>
      <c r="F107" s="47">
        <f>IF($C$98=0,"",IF(C107="[for completion]","",C107/$C$98))</f>
        <v>0</v>
      </c>
      <c r="G107" s="47"/>
      <c r="H107" s="52"/>
      <c r="L107" s="52"/>
      <c r="M107" s="52"/>
    </row>
    <row r="108" spans="1:14" ht="15" customHeight="1" outlineLevel="1" x14ac:dyDescent="0.25">
      <c r="A108" s="90" t="s">
        <v>509</v>
      </c>
      <c r="B108" s="65"/>
      <c r="C108" s="113"/>
      <c r="D108" s="113"/>
      <c r="E108" s="54"/>
      <c r="F108" s="47">
        <f>IF($C$98=0,"",IF(C108="[for completion]","",C108/$C$98))</f>
        <v>0</v>
      </c>
      <c r="G108" s="47"/>
      <c r="H108" s="52"/>
      <c r="L108" s="52"/>
      <c r="M108" s="52"/>
    </row>
    <row r="109" spans="1:14" ht="15" customHeight="1" x14ac:dyDescent="0.25">
      <c r="A109" s="58"/>
      <c r="B109" s="60" t="s">
        <v>688</v>
      </c>
      <c r="C109" s="59" t="s">
        <v>83</v>
      </c>
      <c r="D109" s="59" t="s">
        <v>84</v>
      </c>
      <c r="E109" s="46"/>
      <c r="F109" s="59" t="s">
        <v>85</v>
      </c>
      <c r="G109" s="59" t="s">
        <v>86</v>
      </c>
      <c r="H109" s="52"/>
      <c r="L109" s="52"/>
      <c r="M109" s="52"/>
    </row>
    <row r="110" spans="1:14" s="1" customFormat="1" ht="15" customHeight="1" x14ac:dyDescent="0.25">
      <c r="A110" s="90" t="s">
        <v>510</v>
      </c>
      <c r="B110" s="54" t="s">
        <v>55</v>
      </c>
      <c r="C110" s="113">
        <v>3145387661.0100002</v>
      </c>
      <c r="D110" s="113">
        <f>C110 - 0</f>
        <v>3145387661.0100002</v>
      </c>
      <c r="E110" s="47"/>
      <c r="F110" s="47">
        <f>IF($C$125=0,"",IF(C110="[for completion]","",C110/$C$125))</f>
        <v>0.33946795773675226</v>
      </c>
      <c r="G110" s="47">
        <f t="shared" ref="G110:G124" si="4">IF($D$125=0,"",IF(D110="ND1","",D110/$D$125))</f>
        <v>0.33946795773675226</v>
      </c>
      <c r="H110" s="52"/>
      <c r="I110" s="53"/>
      <c r="J110" s="53"/>
      <c r="K110" s="53"/>
      <c r="L110" s="52"/>
      <c r="M110" s="52"/>
      <c r="N110" s="52"/>
    </row>
    <row r="111" spans="1:14" s="1" customFormat="1" ht="15" customHeight="1" x14ac:dyDescent="0.25">
      <c r="A111" s="90" t="s">
        <v>511</v>
      </c>
      <c r="B111" s="54" t="s">
        <v>22</v>
      </c>
      <c r="C111" s="113">
        <v>44408798.409999996</v>
      </c>
      <c r="D111" s="113">
        <f>C111 - 0</f>
        <v>44408798.409999996</v>
      </c>
      <c r="E111" s="47"/>
      <c r="F111" s="47">
        <f>IF($C$125=0,"",IF(C111="[for completion]","",C111/$C$125))</f>
        <v>4.7928477270572914E-3</v>
      </c>
      <c r="G111" s="47">
        <f t="shared" si="4"/>
        <v>4.7928477270572914E-3</v>
      </c>
      <c r="H111" s="52"/>
      <c r="I111" s="53"/>
      <c r="J111" s="53"/>
      <c r="K111" s="53"/>
      <c r="L111" s="52"/>
      <c r="M111" s="52"/>
      <c r="N111" s="52"/>
    </row>
    <row r="112" spans="1:14" s="1" customFormat="1" ht="15" customHeight="1" x14ac:dyDescent="0.25">
      <c r="A112" s="90" t="s">
        <v>512</v>
      </c>
      <c r="B112" s="54" t="s">
        <v>1062</v>
      </c>
      <c r="C112" s="113">
        <v>6075842872.1400003</v>
      </c>
      <c r="D112" s="113">
        <f>C112 - 0</f>
        <v>6075842872.1400003</v>
      </c>
      <c r="E112" s="47"/>
      <c r="F112" s="47">
        <f>IF($C$125=0,"",IF(C112="[for completion]","",C112/$C$125))</f>
        <v>0.65573919453619034</v>
      </c>
      <c r="G112" s="47">
        <f t="shared" si="4"/>
        <v>0.65573919453619034</v>
      </c>
      <c r="H112" s="52"/>
      <c r="I112" s="53"/>
      <c r="J112" s="53"/>
      <c r="K112" s="53"/>
      <c r="L112" s="52"/>
      <c r="M112" s="52"/>
      <c r="N112" s="52"/>
    </row>
    <row r="113" spans="1:14" s="1" customFormat="1" ht="15" customHeight="1" x14ac:dyDescent="0.25">
      <c r="A113" s="90" t="s">
        <v>513</v>
      </c>
      <c r="B113" s="86" t="s">
        <v>1023</v>
      </c>
      <c r="C113" s="113" t="s">
        <v>185</v>
      </c>
      <c r="D113" s="113" t="s">
        <v>185</v>
      </c>
      <c r="E113" s="47"/>
      <c r="F113" s="47" t="str">
        <f t="shared" ref="F113:F124" si="5">IF($C$125=0,"",IF(C113="ND1","",C113/$C$125))</f>
        <v/>
      </c>
      <c r="G113" s="47" t="str">
        <f t="shared" si="4"/>
        <v/>
      </c>
      <c r="H113" s="52"/>
      <c r="I113" s="53"/>
      <c r="J113" s="53"/>
      <c r="K113" s="53"/>
      <c r="L113" s="52"/>
      <c r="M113" s="52"/>
      <c r="N113" s="52"/>
    </row>
    <row r="114" spans="1:14" s="1" customFormat="1" ht="15" customHeight="1" x14ac:dyDescent="0.25">
      <c r="A114" s="90" t="s">
        <v>514</v>
      </c>
      <c r="B114" s="54" t="s">
        <v>23</v>
      </c>
      <c r="C114" s="113" t="s">
        <v>185</v>
      </c>
      <c r="D114" s="113" t="s">
        <v>185</v>
      </c>
      <c r="E114" s="47"/>
      <c r="F114" s="47" t="str">
        <f t="shared" si="5"/>
        <v/>
      </c>
      <c r="G114" s="47" t="str">
        <f t="shared" si="4"/>
        <v/>
      </c>
      <c r="H114" s="52"/>
      <c r="I114" s="53"/>
      <c r="J114" s="53"/>
      <c r="K114" s="53"/>
      <c r="L114" s="52"/>
      <c r="M114" s="52"/>
      <c r="N114" s="52"/>
    </row>
    <row r="115" spans="1:14" s="1" customFormat="1" ht="15" customHeight="1" x14ac:dyDescent="0.25">
      <c r="A115" s="90" t="s">
        <v>515</v>
      </c>
      <c r="B115" s="54" t="s">
        <v>24</v>
      </c>
      <c r="C115" s="113" t="s">
        <v>185</v>
      </c>
      <c r="D115" s="113" t="s">
        <v>185</v>
      </c>
      <c r="E115" s="54"/>
      <c r="F115" s="47" t="str">
        <f t="shared" si="5"/>
        <v/>
      </c>
      <c r="G115" s="47" t="str">
        <f t="shared" si="4"/>
        <v/>
      </c>
      <c r="H115" s="52"/>
      <c r="I115" s="53"/>
      <c r="J115" s="53"/>
      <c r="K115" s="53"/>
      <c r="L115" s="52"/>
      <c r="M115" s="52"/>
      <c r="N115" s="52"/>
    </row>
    <row r="116" spans="1:14" ht="15" customHeight="1" x14ac:dyDescent="0.25">
      <c r="A116" s="90" t="s">
        <v>516</v>
      </c>
      <c r="B116" s="54" t="s">
        <v>25</v>
      </c>
      <c r="C116" s="113" t="s">
        <v>185</v>
      </c>
      <c r="D116" s="113" t="s">
        <v>185</v>
      </c>
      <c r="E116" s="54"/>
      <c r="F116" s="47" t="str">
        <f t="shared" si="5"/>
        <v/>
      </c>
      <c r="G116" s="47" t="str">
        <f t="shared" si="4"/>
        <v/>
      </c>
      <c r="H116" s="52"/>
      <c r="L116" s="52"/>
      <c r="M116" s="52"/>
    </row>
    <row r="117" spans="1:14" ht="15" customHeight="1" x14ac:dyDescent="0.25">
      <c r="A117" s="90" t="s">
        <v>517</v>
      </c>
      <c r="B117" s="54" t="s">
        <v>135</v>
      </c>
      <c r="C117" s="113" t="s">
        <v>185</v>
      </c>
      <c r="D117" s="113" t="s">
        <v>185</v>
      </c>
      <c r="E117" s="54"/>
      <c r="F117" s="47" t="str">
        <f t="shared" si="5"/>
        <v/>
      </c>
      <c r="G117" s="47" t="str">
        <f t="shared" si="4"/>
        <v/>
      </c>
      <c r="H117" s="52"/>
      <c r="L117" s="52"/>
      <c r="M117" s="52"/>
    </row>
    <row r="118" spans="1:14" ht="15" customHeight="1" x14ac:dyDescent="0.25">
      <c r="A118" s="90" t="s">
        <v>518</v>
      </c>
      <c r="B118" s="54" t="s">
        <v>79</v>
      </c>
      <c r="C118" s="113" t="s">
        <v>185</v>
      </c>
      <c r="D118" s="113" t="s">
        <v>185</v>
      </c>
      <c r="E118" s="54"/>
      <c r="F118" s="47" t="str">
        <f t="shared" si="5"/>
        <v/>
      </c>
      <c r="G118" s="47" t="str">
        <f t="shared" si="4"/>
        <v/>
      </c>
      <c r="H118" s="52"/>
      <c r="L118" s="52"/>
      <c r="M118" s="52"/>
    </row>
    <row r="119" spans="1:14" ht="15" customHeight="1" x14ac:dyDescent="0.25">
      <c r="A119" s="90" t="s">
        <v>519</v>
      </c>
      <c r="B119" s="54" t="s">
        <v>76</v>
      </c>
      <c r="C119" s="113" t="s">
        <v>185</v>
      </c>
      <c r="D119" s="113" t="s">
        <v>185</v>
      </c>
      <c r="E119" s="54"/>
      <c r="F119" s="47" t="str">
        <f t="shared" si="5"/>
        <v/>
      </c>
      <c r="G119" s="47" t="str">
        <f t="shared" si="4"/>
        <v/>
      </c>
      <c r="H119" s="52"/>
      <c r="L119" s="52"/>
      <c r="M119" s="52"/>
    </row>
    <row r="120" spans="1:14" ht="15" customHeight="1" x14ac:dyDescent="0.25">
      <c r="A120" s="90" t="s">
        <v>520</v>
      </c>
      <c r="B120" s="54" t="s">
        <v>80</v>
      </c>
      <c r="C120" s="113" t="s">
        <v>185</v>
      </c>
      <c r="D120" s="113" t="s">
        <v>185</v>
      </c>
      <c r="E120" s="54"/>
      <c r="F120" s="47" t="str">
        <f t="shared" si="5"/>
        <v/>
      </c>
      <c r="G120" s="47" t="str">
        <f t="shared" si="4"/>
        <v/>
      </c>
      <c r="H120" s="52"/>
      <c r="L120" s="52"/>
      <c r="M120" s="52"/>
    </row>
    <row r="121" spans="1:14" ht="15" customHeight="1" x14ac:dyDescent="0.25">
      <c r="A121" s="90" t="s">
        <v>521</v>
      </c>
      <c r="B121" s="54" t="s">
        <v>134</v>
      </c>
      <c r="C121" s="113" t="s">
        <v>185</v>
      </c>
      <c r="D121" s="113" t="s">
        <v>185</v>
      </c>
      <c r="E121" s="54"/>
      <c r="F121" s="47" t="str">
        <f t="shared" si="5"/>
        <v/>
      </c>
      <c r="G121" s="47" t="str">
        <f t="shared" si="4"/>
        <v/>
      </c>
      <c r="H121" s="52"/>
      <c r="L121" s="52"/>
      <c r="M121" s="52"/>
    </row>
    <row r="122" spans="1:14" ht="15" customHeight="1" x14ac:dyDescent="0.25">
      <c r="A122" s="90" t="s">
        <v>522</v>
      </c>
      <c r="B122" s="54" t="s">
        <v>39</v>
      </c>
      <c r="C122" s="113" t="s">
        <v>185</v>
      </c>
      <c r="D122" s="113" t="s">
        <v>185</v>
      </c>
      <c r="E122" s="54"/>
      <c r="F122" s="47" t="str">
        <f t="shared" si="5"/>
        <v/>
      </c>
      <c r="G122" s="47" t="str">
        <f t="shared" si="4"/>
        <v/>
      </c>
      <c r="H122" s="52"/>
      <c r="L122" s="52"/>
      <c r="M122" s="52"/>
    </row>
    <row r="123" spans="1:14" ht="15" customHeight="1" x14ac:dyDescent="0.25">
      <c r="A123" s="90" t="s">
        <v>523</v>
      </c>
      <c r="B123" s="54" t="s">
        <v>77</v>
      </c>
      <c r="C123" s="113" t="s">
        <v>185</v>
      </c>
      <c r="D123" s="113" t="s">
        <v>185</v>
      </c>
      <c r="E123" s="54"/>
      <c r="F123" s="47" t="str">
        <f t="shared" si="5"/>
        <v/>
      </c>
      <c r="G123" s="47" t="str">
        <f t="shared" si="4"/>
        <v/>
      </c>
      <c r="H123" s="52"/>
      <c r="L123" s="52"/>
      <c r="M123" s="52"/>
    </row>
    <row r="124" spans="1:14" ht="15" customHeight="1" x14ac:dyDescent="0.25">
      <c r="A124" s="90" t="s">
        <v>524</v>
      </c>
      <c r="B124" s="54" t="s">
        <v>2</v>
      </c>
      <c r="C124" s="113" t="s">
        <v>185</v>
      </c>
      <c r="D124" s="113" t="s">
        <v>185</v>
      </c>
      <c r="E124" s="54"/>
      <c r="F124" s="47" t="str">
        <f t="shared" si="5"/>
        <v/>
      </c>
      <c r="G124" s="47" t="str">
        <f t="shared" si="4"/>
        <v/>
      </c>
      <c r="H124" s="52"/>
      <c r="L124" s="52"/>
      <c r="M124" s="52"/>
    </row>
    <row r="125" spans="1:14" ht="15" customHeight="1" x14ac:dyDescent="0.25">
      <c r="A125" s="90" t="s">
        <v>525</v>
      </c>
      <c r="B125" s="8" t="s">
        <v>1</v>
      </c>
      <c r="C125" s="113">
        <f>SUM(C110:C124)</f>
        <v>9265639331.5600014</v>
      </c>
      <c r="D125" s="113">
        <f>SUM(D110:D124)</f>
        <v>9265639331.5600014</v>
      </c>
      <c r="E125" s="54"/>
      <c r="F125" s="47">
        <f>SUM(F110:F124)</f>
        <v>0.99999999999999989</v>
      </c>
      <c r="G125" s="47">
        <f>SUM(G110:G124)</f>
        <v>0.99999999999999989</v>
      </c>
      <c r="H125" s="52"/>
      <c r="L125" s="52"/>
      <c r="M125" s="52"/>
    </row>
    <row r="126" spans="1:14" ht="15" customHeight="1" outlineLevel="1" x14ac:dyDescent="0.25">
      <c r="A126" s="90" t="s">
        <v>1074</v>
      </c>
      <c r="B126" s="67" t="s">
        <v>154</v>
      </c>
      <c r="C126" s="113"/>
      <c r="D126" s="113"/>
      <c r="E126" s="86"/>
      <c r="F126" s="47" t="str">
        <f t="shared" ref="F126:F134" si="6">IF($C$125=0,"",IF(C126="","",C126/$C$125))</f>
        <v/>
      </c>
      <c r="G126" s="47" t="str">
        <f t="shared" ref="G126:G134" si="7">IF($D$125=0,"",IF(D126="","",D126/$D$125))</f>
        <v/>
      </c>
      <c r="H126" s="52"/>
      <c r="I126" s="90"/>
      <c r="J126" s="90"/>
      <c r="K126" s="90"/>
      <c r="L126" s="52"/>
      <c r="M126" s="52"/>
    </row>
    <row r="127" spans="1:14" ht="15" customHeight="1" outlineLevel="1" x14ac:dyDescent="0.25">
      <c r="A127" s="90" t="s">
        <v>1075</v>
      </c>
      <c r="B127" s="67" t="s">
        <v>154</v>
      </c>
      <c r="C127" s="113"/>
      <c r="D127" s="113"/>
      <c r="E127" s="86"/>
      <c r="F127" s="47" t="str">
        <f t="shared" si="6"/>
        <v/>
      </c>
      <c r="G127" s="47" t="str">
        <f t="shared" si="7"/>
        <v/>
      </c>
      <c r="H127" s="52"/>
      <c r="I127" s="90"/>
      <c r="J127" s="90"/>
      <c r="K127" s="90"/>
      <c r="L127" s="52"/>
      <c r="M127" s="52"/>
    </row>
    <row r="128" spans="1:14" ht="15" customHeight="1" outlineLevel="1" x14ac:dyDescent="0.25">
      <c r="A128" s="90" t="s">
        <v>1076</v>
      </c>
      <c r="B128" s="67" t="s">
        <v>154</v>
      </c>
      <c r="C128" s="113"/>
      <c r="D128" s="113"/>
      <c r="E128" s="86"/>
      <c r="F128" s="47" t="str">
        <f t="shared" si="6"/>
        <v/>
      </c>
      <c r="G128" s="47" t="str">
        <f t="shared" si="7"/>
        <v/>
      </c>
      <c r="H128" s="52"/>
      <c r="I128" s="90"/>
      <c r="J128" s="90"/>
      <c r="K128" s="90"/>
      <c r="L128" s="52"/>
      <c r="M128" s="52"/>
    </row>
    <row r="129" spans="1:14" ht="15" customHeight="1" outlineLevel="1" x14ac:dyDescent="0.25">
      <c r="A129" s="90" t="s">
        <v>1077</v>
      </c>
      <c r="B129" s="67" t="s">
        <v>154</v>
      </c>
      <c r="C129" s="113"/>
      <c r="D129" s="113"/>
      <c r="E129" s="86"/>
      <c r="F129" s="47" t="str">
        <f t="shared" si="6"/>
        <v/>
      </c>
      <c r="G129" s="47" t="str">
        <f t="shared" si="7"/>
        <v/>
      </c>
      <c r="H129" s="52"/>
      <c r="I129" s="90"/>
      <c r="J129" s="90"/>
      <c r="K129" s="90"/>
      <c r="L129" s="52"/>
      <c r="M129" s="52"/>
    </row>
    <row r="130" spans="1:14" ht="15" customHeight="1" outlineLevel="1" x14ac:dyDescent="0.25">
      <c r="A130" s="90" t="s">
        <v>1078</v>
      </c>
      <c r="B130" s="67" t="s">
        <v>154</v>
      </c>
      <c r="C130" s="113"/>
      <c r="D130" s="113"/>
      <c r="E130" s="86"/>
      <c r="F130" s="47" t="str">
        <f t="shared" si="6"/>
        <v/>
      </c>
      <c r="G130" s="47" t="str">
        <f t="shared" si="7"/>
        <v/>
      </c>
      <c r="H130" s="52"/>
      <c r="I130" s="90"/>
      <c r="J130" s="90"/>
      <c r="K130" s="90"/>
      <c r="L130" s="52"/>
      <c r="M130" s="52"/>
    </row>
    <row r="131" spans="1:14" ht="15" customHeight="1" outlineLevel="1" x14ac:dyDescent="0.25">
      <c r="A131" s="90" t="s">
        <v>1079</v>
      </c>
      <c r="B131" s="67" t="s">
        <v>154</v>
      </c>
      <c r="C131" s="113"/>
      <c r="D131" s="113"/>
      <c r="E131" s="86"/>
      <c r="F131" s="47" t="str">
        <f t="shared" si="6"/>
        <v/>
      </c>
      <c r="G131" s="47" t="str">
        <f t="shared" si="7"/>
        <v/>
      </c>
      <c r="H131" s="52"/>
      <c r="I131" s="90"/>
      <c r="J131" s="90"/>
      <c r="K131" s="90"/>
      <c r="L131" s="52"/>
      <c r="M131" s="52"/>
    </row>
    <row r="132" spans="1:14" ht="15" customHeight="1" outlineLevel="1" x14ac:dyDescent="0.25">
      <c r="A132" s="90" t="s">
        <v>1080</v>
      </c>
      <c r="B132" s="67" t="s">
        <v>154</v>
      </c>
      <c r="C132" s="113"/>
      <c r="D132" s="113"/>
      <c r="E132" s="86"/>
      <c r="F132" s="47" t="str">
        <f t="shared" si="6"/>
        <v/>
      </c>
      <c r="G132" s="47" t="str">
        <f t="shared" si="7"/>
        <v/>
      </c>
      <c r="H132" s="52"/>
      <c r="I132" s="90"/>
      <c r="J132" s="90"/>
      <c r="K132" s="90"/>
      <c r="L132" s="52"/>
      <c r="M132" s="52"/>
    </row>
    <row r="133" spans="1:14" ht="15" customHeight="1" outlineLevel="1" x14ac:dyDescent="0.25">
      <c r="A133" s="90" t="s">
        <v>1081</v>
      </c>
      <c r="B133" s="67" t="s">
        <v>154</v>
      </c>
      <c r="C133" s="113"/>
      <c r="D133" s="113"/>
      <c r="E133" s="86"/>
      <c r="F133" s="47" t="str">
        <f t="shared" si="6"/>
        <v/>
      </c>
      <c r="G133" s="47" t="str">
        <f t="shared" si="7"/>
        <v/>
      </c>
      <c r="H133" s="52"/>
      <c r="I133" s="90"/>
      <c r="J133" s="90"/>
      <c r="K133" s="90"/>
      <c r="L133" s="52"/>
      <c r="M133" s="52"/>
    </row>
    <row r="134" spans="1:14" ht="15" customHeight="1" outlineLevel="1" x14ac:dyDescent="0.25">
      <c r="A134" s="90" t="s">
        <v>1082</v>
      </c>
      <c r="B134" s="67" t="s">
        <v>154</v>
      </c>
      <c r="C134" s="113"/>
      <c r="D134" s="113"/>
      <c r="E134" s="51"/>
      <c r="F134" s="47" t="str">
        <f t="shared" si="6"/>
        <v/>
      </c>
      <c r="G134" s="47" t="str">
        <f t="shared" si="7"/>
        <v/>
      </c>
      <c r="H134" s="52"/>
      <c r="I134" s="90"/>
      <c r="J134" s="90"/>
      <c r="K134" s="90"/>
      <c r="L134" s="52"/>
      <c r="M134" s="52"/>
    </row>
    <row r="135" spans="1:14" ht="15" customHeight="1" x14ac:dyDescent="0.25">
      <c r="A135" s="58"/>
      <c r="B135" s="60" t="s">
        <v>689</v>
      </c>
      <c r="C135" s="59" t="s">
        <v>83</v>
      </c>
      <c r="D135" s="59" t="s">
        <v>84</v>
      </c>
      <c r="E135" s="46"/>
      <c r="F135" s="59" t="s">
        <v>85</v>
      </c>
      <c r="G135" s="59" t="s">
        <v>86</v>
      </c>
      <c r="H135" s="52"/>
      <c r="L135" s="52"/>
      <c r="M135" s="52"/>
    </row>
    <row r="136" spans="1:14" s="1" customFormat="1" ht="15" customHeight="1" x14ac:dyDescent="0.25">
      <c r="A136" s="90" t="s">
        <v>526</v>
      </c>
      <c r="B136" s="54" t="s">
        <v>55</v>
      </c>
      <c r="C136" s="113">
        <v>2091203650</v>
      </c>
      <c r="D136" s="113">
        <f>C136 - 0</f>
        <v>2091203650</v>
      </c>
      <c r="E136" s="47"/>
      <c r="F136" s="47">
        <f t="shared" ref="F136:F141" si="8">IF($C$151=0,"",IF(C136="ND1","",C136/$C$151))</f>
        <v>0.33859046244370522</v>
      </c>
      <c r="G136" s="47">
        <f t="shared" ref="G136:G150" si="9">IF($D$151=0,"",IF(D136="ND1","",D136/$D$151))</f>
        <v>0.33859046244370522</v>
      </c>
      <c r="H136" s="52"/>
      <c r="I136" s="53"/>
      <c r="J136" s="53"/>
      <c r="K136" s="53"/>
      <c r="L136" s="52"/>
      <c r="M136" s="52"/>
      <c r="N136" s="52"/>
    </row>
    <row r="137" spans="1:14" s="1" customFormat="1" ht="15" customHeight="1" x14ac:dyDescent="0.25">
      <c r="A137" s="90" t="s">
        <v>527</v>
      </c>
      <c r="B137" s="54" t="s">
        <v>22</v>
      </c>
      <c r="C137" s="113">
        <v>0</v>
      </c>
      <c r="D137" s="113">
        <f>C137 - 0</f>
        <v>0</v>
      </c>
      <c r="E137" s="47"/>
      <c r="F137" s="47">
        <f t="shared" si="8"/>
        <v>0</v>
      </c>
      <c r="G137" s="47">
        <f t="shared" si="9"/>
        <v>0</v>
      </c>
      <c r="H137" s="52"/>
      <c r="I137" s="53"/>
      <c r="J137" s="53"/>
      <c r="K137" s="53"/>
      <c r="L137" s="52"/>
      <c r="M137" s="52"/>
      <c r="N137" s="52"/>
    </row>
    <row r="138" spans="1:14" s="1" customFormat="1" ht="15" customHeight="1" x14ac:dyDescent="0.25">
      <c r="A138" s="90" t="s">
        <v>528</v>
      </c>
      <c r="B138" s="54" t="s">
        <v>1062</v>
      </c>
      <c r="C138" s="113">
        <v>4085000000</v>
      </c>
      <c r="D138" s="113">
        <f>C138 - 0</f>
        <v>4085000000</v>
      </c>
      <c r="E138" s="47"/>
      <c r="F138" s="47">
        <f t="shared" si="8"/>
        <v>0.66140953755629484</v>
      </c>
      <c r="G138" s="47">
        <f t="shared" si="9"/>
        <v>0.66140953755629484</v>
      </c>
      <c r="H138" s="52"/>
      <c r="I138" s="53"/>
      <c r="J138" s="53"/>
      <c r="K138" s="53"/>
      <c r="L138" s="52"/>
      <c r="M138" s="52"/>
      <c r="N138" s="52"/>
    </row>
    <row r="139" spans="1:14" s="1" customFormat="1" ht="15" customHeight="1" x14ac:dyDescent="0.25">
      <c r="A139" s="90" t="s">
        <v>529</v>
      </c>
      <c r="B139" s="86" t="s">
        <v>1023</v>
      </c>
      <c r="C139" s="113">
        <v>0</v>
      </c>
      <c r="D139" s="113">
        <v>0</v>
      </c>
      <c r="E139" s="47"/>
      <c r="F139" s="47">
        <f t="shared" si="8"/>
        <v>0</v>
      </c>
      <c r="G139" s="47">
        <f t="shared" si="9"/>
        <v>0</v>
      </c>
      <c r="H139" s="52"/>
      <c r="I139" s="53"/>
      <c r="J139" s="53"/>
      <c r="K139" s="53"/>
      <c r="L139" s="52"/>
      <c r="M139" s="52"/>
      <c r="N139" s="52"/>
    </row>
    <row r="140" spans="1:14" s="1" customFormat="1" ht="15" customHeight="1" x14ac:dyDescent="0.25">
      <c r="A140" s="90" t="s">
        <v>530</v>
      </c>
      <c r="B140" s="54" t="s">
        <v>23</v>
      </c>
      <c r="C140" s="113">
        <v>0</v>
      </c>
      <c r="D140" s="113">
        <v>0</v>
      </c>
      <c r="E140" s="47"/>
      <c r="F140" s="47">
        <f t="shared" si="8"/>
        <v>0</v>
      </c>
      <c r="G140" s="47">
        <f t="shared" si="9"/>
        <v>0</v>
      </c>
      <c r="H140" s="52"/>
      <c r="I140" s="53"/>
      <c r="J140" s="53"/>
      <c r="K140" s="53"/>
      <c r="L140" s="52"/>
      <c r="M140" s="52"/>
      <c r="N140" s="52"/>
    </row>
    <row r="141" spans="1:14" s="1" customFormat="1" ht="15" customHeight="1" x14ac:dyDescent="0.25">
      <c r="A141" s="90" t="s">
        <v>531</v>
      </c>
      <c r="B141" s="54" t="s">
        <v>24</v>
      </c>
      <c r="C141" s="113">
        <v>0</v>
      </c>
      <c r="D141" s="113">
        <v>0</v>
      </c>
      <c r="E141" s="54"/>
      <c r="F141" s="47">
        <f t="shared" si="8"/>
        <v>0</v>
      </c>
      <c r="G141" s="47">
        <f t="shared" si="9"/>
        <v>0</v>
      </c>
      <c r="H141" s="52"/>
      <c r="I141" s="53"/>
      <c r="J141" s="53"/>
      <c r="K141" s="53"/>
      <c r="L141" s="52"/>
      <c r="M141" s="52"/>
      <c r="N141" s="52"/>
    </row>
    <row r="142" spans="1:14" ht="15" customHeight="1" x14ac:dyDescent="0.25">
      <c r="A142" s="90" t="s">
        <v>532</v>
      </c>
      <c r="B142" s="54" t="s">
        <v>25</v>
      </c>
      <c r="C142" s="113">
        <v>0</v>
      </c>
      <c r="D142" s="113">
        <v>0</v>
      </c>
      <c r="E142" s="54"/>
      <c r="F142" s="47">
        <f>IF($C$151=0,"",IF(C142="0","",C142/$C$151))</f>
        <v>0</v>
      </c>
      <c r="G142" s="47">
        <f t="shared" si="9"/>
        <v>0</v>
      </c>
      <c r="H142" s="52"/>
      <c r="L142" s="52"/>
      <c r="M142" s="52"/>
    </row>
    <row r="143" spans="1:14" ht="15" customHeight="1" x14ac:dyDescent="0.25">
      <c r="A143" s="90" t="s">
        <v>533</v>
      </c>
      <c r="B143" s="54" t="s">
        <v>135</v>
      </c>
      <c r="C143" s="113">
        <v>0</v>
      </c>
      <c r="D143" s="113">
        <v>0</v>
      </c>
      <c r="E143" s="54"/>
      <c r="F143" s="47">
        <f t="shared" ref="F143:F150" si="10">IF($C$151=0,"",IF(C143="ND1","",C143/$C$151))</f>
        <v>0</v>
      </c>
      <c r="G143" s="47">
        <f t="shared" si="9"/>
        <v>0</v>
      </c>
      <c r="H143" s="52"/>
      <c r="L143" s="52"/>
      <c r="M143" s="52"/>
    </row>
    <row r="144" spans="1:14" ht="15" customHeight="1" x14ac:dyDescent="0.25">
      <c r="A144" s="90" t="s">
        <v>534</v>
      </c>
      <c r="B144" s="54" t="s">
        <v>79</v>
      </c>
      <c r="C144" s="113">
        <v>0</v>
      </c>
      <c r="D144" s="113">
        <v>0</v>
      </c>
      <c r="E144" s="54"/>
      <c r="F144" s="47">
        <f t="shared" si="10"/>
        <v>0</v>
      </c>
      <c r="G144" s="47">
        <f t="shared" si="9"/>
        <v>0</v>
      </c>
      <c r="H144" s="52"/>
      <c r="L144" s="52"/>
      <c r="M144" s="52"/>
    </row>
    <row r="145" spans="1:13" ht="15" customHeight="1" x14ac:dyDescent="0.25">
      <c r="A145" s="90" t="s">
        <v>535</v>
      </c>
      <c r="B145" s="54" t="s">
        <v>76</v>
      </c>
      <c r="C145" s="113">
        <v>0</v>
      </c>
      <c r="D145" s="113">
        <v>0</v>
      </c>
      <c r="E145" s="54"/>
      <c r="F145" s="47">
        <f t="shared" si="10"/>
        <v>0</v>
      </c>
      <c r="G145" s="47">
        <f t="shared" si="9"/>
        <v>0</v>
      </c>
      <c r="H145" s="52"/>
      <c r="L145" s="52"/>
      <c r="M145" s="52"/>
    </row>
    <row r="146" spans="1:13" ht="15" customHeight="1" x14ac:dyDescent="0.25">
      <c r="A146" s="90" t="s">
        <v>536</v>
      </c>
      <c r="B146" s="54" t="s">
        <v>80</v>
      </c>
      <c r="C146" s="113">
        <v>0</v>
      </c>
      <c r="D146" s="113">
        <v>0</v>
      </c>
      <c r="E146" s="54"/>
      <c r="F146" s="47">
        <f t="shared" si="10"/>
        <v>0</v>
      </c>
      <c r="G146" s="47">
        <f t="shared" si="9"/>
        <v>0</v>
      </c>
      <c r="H146" s="52"/>
      <c r="L146" s="52"/>
      <c r="M146" s="52"/>
    </row>
    <row r="147" spans="1:13" ht="15" customHeight="1" x14ac:dyDescent="0.25">
      <c r="A147" s="90" t="s">
        <v>537</v>
      </c>
      <c r="B147" s="54" t="s">
        <v>134</v>
      </c>
      <c r="C147" s="113">
        <v>0</v>
      </c>
      <c r="D147" s="113">
        <v>0</v>
      </c>
      <c r="E147" s="54"/>
      <c r="F147" s="47">
        <f t="shared" si="10"/>
        <v>0</v>
      </c>
      <c r="G147" s="47">
        <f t="shared" si="9"/>
        <v>0</v>
      </c>
      <c r="H147" s="52"/>
      <c r="L147" s="52"/>
      <c r="M147" s="52"/>
    </row>
    <row r="148" spans="1:13" ht="15" customHeight="1" x14ac:dyDescent="0.25">
      <c r="A148" s="90" t="s">
        <v>538</v>
      </c>
      <c r="B148" s="54" t="s">
        <v>39</v>
      </c>
      <c r="C148" s="113">
        <v>0</v>
      </c>
      <c r="D148" s="113">
        <v>0</v>
      </c>
      <c r="E148" s="54"/>
      <c r="F148" s="47">
        <f t="shared" si="10"/>
        <v>0</v>
      </c>
      <c r="G148" s="47">
        <f t="shared" si="9"/>
        <v>0</v>
      </c>
      <c r="H148" s="52"/>
      <c r="L148" s="52"/>
      <c r="M148" s="52"/>
    </row>
    <row r="149" spans="1:13" ht="15" customHeight="1" x14ac:dyDescent="0.25">
      <c r="A149" s="90" t="s">
        <v>539</v>
      </c>
      <c r="B149" s="54" t="s">
        <v>77</v>
      </c>
      <c r="C149" s="113">
        <v>0</v>
      </c>
      <c r="D149" s="113">
        <v>0</v>
      </c>
      <c r="E149" s="54"/>
      <c r="F149" s="47">
        <f t="shared" si="10"/>
        <v>0</v>
      </c>
      <c r="G149" s="47">
        <f t="shared" si="9"/>
        <v>0</v>
      </c>
      <c r="H149" s="52"/>
      <c r="L149" s="52"/>
      <c r="M149" s="52"/>
    </row>
    <row r="150" spans="1:13" ht="15" customHeight="1" x14ac:dyDescent="0.25">
      <c r="A150" s="90" t="s">
        <v>540</v>
      </c>
      <c r="B150" s="54" t="s">
        <v>2</v>
      </c>
      <c r="C150" s="113">
        <v>0</v>
      </c>
      <c r="D150" s="113">
        <v>0</v>
      </c>
      <c r="E150" s="54"/>
      <c r="F150" s="47">
        <f t="shared" si="10"/>
        <v>0</v>
      </c>
      <c r="G150" s="47">
        <f t="shared" si="9"/>
        <v>0</v>
      </c>
      <c r="H150" s="52"/>
      <c r="L150" s="52"/>
      <c r="M150" s="52"/>
    </row>
    <row r="151" spans="1:13" ht="15" customHeight="1" x14ac:dyDescent="0.25">
      <c r="A151" s="90" t="s">
        <v>541</v>
      </c>
      <c r="B151" s="8" t="s">
        <v>1</v>
      </c>
      <c r="C151" s="113">
        <f>SUM(C136:C150)</f>
        <v>6176203650</v>
      </c>
      <c r="D151" s="113">
        <f>SUM(D136:D150)</f>
        <v>6176203650</v>
      </c>
      <c r="E151" s="54"/>
      <c r="F151" s="47">
        <f>SUM(F136:F150)</f>
        <v>1</v>
      </c>
      <c r="G151" s="47">
        <f>SUM(G136:G150)</f>
        <v>1</v>
      </c>
      <c r="H151" s="52"/>
      <c r="L151" s="52"/>
      <c r="M151" s="52"/>
    </row>
    <row r="152" spans="1:13" ht="15" hidden="1" customHeight="1" outlineLevel="1" x14ac:dyDescent="0.25">
      <c r="A152" s="90" t="s">
        <v>1083</v>
      </c>
      <c r="B152" s="67" t="s">
        <v>154</v>
      </c>
      <c r="C152" s="113"/>
      <c r="D152" s="113"/>
      <c r="E152" s="86"/>
      <c r="F152" s="47" t="str">
        <f t="shared" ref="F152:F160" si="11">IF($C$151=0,"",IF(C152="","",C152/$C$151))</f>
        <v/>
      </c>
      <c r="G152" s="47" t="str">
        <f t="shared" ref="G152:G160" si="12">IF($D$151=0,"",IF(D152="","",D152/$D$151))</f>
        <v/>
      </c>
      <c r="H152" s="52"/>
      <c r="I152" s="90"/>
      <c r="J152" s="90"/>
      <c r="K152" s="90"/>
      <c r="L152" s="52"/>
      <c r="M152" s="52"/>
    </row>
    <row r="153" spans="1:13" ht="15" hidden="1" customHeight="1" outlineLevel="1" x14ac:dyDescent="0.25">
      <c r="A153" s="90" t="s">
        <v>1084</v>
      </c>
      <c r="B153" s="67" t="s">
        <v>154</v>
      </c>
      <c r="C153" s="113"/>
      <c r="D153" s="113"/>
      <c r="E153" s="86"/>
      <c r="F153" s="47" t="str">
        <f t="shared" si="11"/>
        <v/>
      </c>
      <c r="G153" s="47" t="str">
        <f t="shared" si="12"/>
        <v/>
      </c>
      <c r="H153" s="52"/>
      <c r="I153" s="90"/>
      <c r="J153" s="90"/>
      <c r="K153" s="90"/>
      <c r="L153" s="52"/>
      <c r="M153" s="52"/>
    </row>
    <row r="154" spans="1:13" ht="15" hidden="1" customHeight="1" outlineLevel="1" x14ac:dyDescent="0.25">
      <c r="A154" s="90" t="s">
        <v>1085</v>
      </c>
      <c r="B154" s="67" t="s">
        <v>154</v>
      </c>
      <c r="C154" s="113"/>
      <c r="D154" s="113"/>
      <c r="E154" s="86"/>
      <c r="F154" s="47" t="str">
        <f t="shared" si="11"/>
        <v/>
      </c>
      <c r="G154" s="47" t="str">
        <f t="shared" si="12"/>
        <v/>
      </c>
      <c r="H154" s="52"/>
      <c r="I154" s="90"/>
      <c r="J154" s="90"/>
      <c r="K154" s="90"/>
      <c r="L154" s="52"/>
      <c r="M154" s="52"/>
    </row>
    <row r="155" spans="1:13" ht="15" hidden="1" customHeight="1" outlineLevel="1" x14ac:dyDescent="0.25">
      <c r="A155" s="90" t="s">
        <v>1086</v>
      </c>
      <c r="B155" s="67" t="s">
        <v>154</v>
      </c>
      <c r="C155" s="113"/>
      <c r="D155" s="113"/>
      <c r="E155" s="86"/>
      <c r="F155" s="47" t="str">
        <f t="shared" si="11"/>
        <v/>
      </c>
      <c r="G155" s="47" t="str">
        <f t="shared" si="12"/>
        <v/>
      </c>
      <c r="H155" s="52"/>
      <c r="I155" s="90"/>
      <c r="J155" s="90"/>
      <c r="K155" s="90"/>
      <c r="L155" s="52"/>
      <c r="M155" s="52"/>
    </row>
    <row r="156" spans="1:13" ht="15" hidden="1" customHeight="1" outlineLevel="1" x14ac:dyDescent="0.25">
      <c r="A156" s="90" t="s">
        <v>1087</v>
      </c>
      <c r="B156" s="67" t="s">
        <v>154</v>
      </c>
      <c r="C156" s="113"/>
      <c r="D156" s="113"/>
      <c r="E156" s="86"/>
      <c r="F156" s="47" t="str">
        <f t="shared" si="11"/>
        <v/>
      </c>
      <c r="G156" s="47" t="str">
        <f t="shared" si="12"/>
        <v/>
      </c>
      <c r="H156" s="52"/>
      <c r="I156" s="90"/>
      <c r="J156" s="90"/>
      <c r="K156" s="90"/>
      <c r="L156" s="52"/>
      <c r="M156" s="52"/>
    </row>
    <row r="157" spans="1:13" ht="15" hidden="1" customHeight="1" outlineLevel="1" x14ac:dyDescent="0.25">
      <c r="A157" s="90" t="s">
        <v>1088</v>
      </c>
      <c r="B157" s="67" t="s">
        <v>154</v>
      </c>
      <c r="C157" s="113"/>
      <c r="D157" s="113"/>
      <c r="E157" s="86"/>
      <c r="F157" s="47" t="str">
        <f t="shared" si="11"/>
        <v/>
      </c>
      <c r="G157" s="47" t="str">
        <f t="shared" si="12"/>
        <v/>
      </c>
      <c r="H157" s="52"/>
      <c r="I157" s="90"/>
      <c r="J157" s="90"/>
      <c r="K157" s="90"/>
      <c r="L157" s="52"/>
      <c r="M157" s="52"/>
    </row>
    <row r="158" spans="1:13" ht="15" hidden="1" customHeight="1" outlineLevel="1" x14ac:dyDescent="0.25">
      <c r="A158" s="90" t="s">
        <v>1089</v>
      </c>
      <c r="B158" s="67" t="s">
        <v>154</v>
      </c>
      <c r="C158" s="113"/>
      <c r="D158" s="113"/>
      <c r="E158" s="86"/>
      <c r="F158" s="47" t="str">
        <f t="shared" si="11"/>
        <v/>
      </c>
      <c r="G158" s="47" t="str">
        <f t="shared" si="12"/>
        <v/>
      </c>
      <c r="H158" s="52"/>
      <c r="I158" s="90"/>
      <c r="J158" s="90"/>
      <c r="K158" s="90"/>
      <c r="L158" s="52"/>
      <c r="M158" s="52"/>
    </row>
    <row r="159" spans="1:13" ht="15" hidden="1" customHeight="1" outlineLevel="1" x14ac:dyDescent="0.25">
      <c r="A159" s="90" t="s">
        <v>1090</v>
      </c>
      <c r="B159" s="67" t="s">
        <v>154</v>
      </c>
      <c r="C159" s="113"/>
      <c r="D159" s="113"/>
      <c r="E159" s="86"/>
      <c r="F159" s="47" t="str">
        <f t="shared" si="11"/>
        <v/>
      </c>
      <c r="G159" s="47" t="str">
        <f t="shared" si="12"/>
        <v/>
      </c>
      <c r="H159" s="52"/>
      <c r="I159" s="90"/>
      <c r="J159" s="90"/>
      <c r="K159" s="90"/>
      <c r="L159" s="52"/>
      <c r="M159" s="52"/>
    </row>
    <row r="160" spans="1:13" ht="15" hidden="1" customHeight="1" outlineLevel="1" x14ac:dyDescent="0.25">
      <c r="A160" s="90" t="s">
        <v>1091</v>
      </c>
      <c r="B160" s="67" t="s">
        <v>154</v>
      </c>
      <c r="C160" s="113"/>
      <c r="D160" s="113"/>
      <c r="E160" s="51"/>
      <c r="F160" s="47" t="str">
        <f t="shared" si="11"/>
        <v/>
      </c>
      <c r="G160" s="47" t="str">
        <f t="shared" si="12"/>
        <v/>
      </c>
      <c r="H160" s="52"/>
      <c r="I160" s="90"/>
      <c r="J160" s="90"/>
      <c r="K160" s="90"/>
      <c r="L160" s="52"/>
      <c r="M160" s="52"/>
    </row>
    <row r="161" spans="1:13" ht="15" customHeight="1" collapsed="1" x14ac:dyDescent="0.25">
      <c r="A161" s="58"/>
      <c r="B161" s="60" t="s">
        <v>690</v>
      </c>
      <c r="C161" s="58" t="s">
        <v>82</v>
      </c>
      <c r="D161" s="58"/>
      <c r="E161" s="46"/>
      <c r="F161" s="59" t="s">
        <v>56</v>
      </c>
      <c r="G161" s="59"/>
      <c r="H161" s="52"/>
      <c r="L161" s="52"/>
      <c r="M161" s="52"/>
    </row>
    <row r="162" spans="1:13" ht="15" customHeight="1" x14ac:dyDescent="0.25">
      <c r="A162" s="90" t="s">
        <v>542</v>
      </c>
      <c r="B162" s="52" t="s">
        <v>16</v>
      </c>
      <c r="C162" s="113">
        <v>1399503650</v>
      </c>
      <c r="D162" s="113"/>
      <c r="E162" s="9"/>
      <c r="F162" s="47">
        <f>IF($C$165=0,"",IF(C162="[for completion]","",C162/$C$165))</f>
        <v>0.22659609839775927</v>
      </c>
      <c r="G162" s="47"/>
      <c r="H162" s="52"/>
      <c r="L162" s="52"/>
      <c r="M162" s="52"/>
    </row>
    <row r="163" spans="1:13" ht="15" customHeight="1" x14ac:dyDescent="0.25">
      <c r="A163" s="90" t="s">
        <v>543</v>
      </c>
      <c r="B163" s="52" t="s">
        <v>17</v>
      </c>
      <c r="C163" s="113">
        <v>4776700000</v>
      </c>
      <c r="D163" s="113"/>
      <c r="E163" s="9"/>
      <c r="F163" s="47">
        <f>IF($C$165=0,"",IF(C163="[for completion]","",C163/$C$165))</f>
        <v>0.77340390160224071</v>
      </c>
      <c r="G163" s="47"/>
      <c r="H163" s="52"/>
      <c r="L163" s="52"/>
      <c r="M163" s="52"/>
    </row>
    <row r="164" spans="1:13" ht="15" customHeight="1" x14ac:dyDescent="0.25">
      <c r="A164" s="90" t="s">
        <v>544</v>
      </c>
      <c r="B164" s="52" t="s">
        <v>2</v>
      </c>
      <c r="C164" s="113">
        <v>0</v>
      </c>
      <c r="D164" s="113"/>
      <c r="E164" s="9"/>
      <c r="F164" s="47">
        <f>IF($C$165=0,"",IF(C164="[for completion]","",C164/$C$165))</f>
        <v>0</v>
      </c>
      <c r="G164" s="47"/>
      <c r="H164" s="52"/>
      <c r="L164" s="52"/>
      <c r="M164" s="52"/>
    </row>
    <row r="165" spans="1:13" ht="15" customHeight="1" x14ac:dyDescent="0.25">
      <c r="A165" s="90" t="s">
        <v>545</v>
      </c>
      <c r="B165" s="10" t="s">
        <v>1</v>
      </c>
      <c r="C165" s="113">
        <f>SUM(C162:C164)</f>
        <v>6176203650</v>
      </c>
      <c r="D165" s="113"/>
      <c r="E165" s="9"/>
      <c r="F165" s="47">
        <f>SUM(F162:F164)</f>
        <v>1</v>
      </c>
      <c r="G165" s="47"/>
      <c r="H165" s="52"/>
      <c r="L165" s="52"/>
      <c r="M165" s="52"/>
    </row>
    <row r="166" spans="1:13" ht="15" hidden="1" customHeight="1" outlineLevel="1" x14ac:dyDescent="0.25">
      <c r="A166" s="90" t="s">
        <v>546</v>
      </c>
      <c r="B166" s="10"/>
      <c r="C166" s="113"/>
      <c r="D166" s="113"/>
      <c r="E166" s="9"/>
      <c r="F166" s="47"/>
      <c r="G166" s="47"/>
      <c r="H166" s="52"/>
      <c r="L166" s="52"/>
      <c r="M166" s="52"/>
    </row>
    <row r="167" spans="1:13" ht="15" hidden="1" customHeight="1" outlineLevel="1" x14ac:dyDescent="0.25">
      <c r="A167" s="90" t="s">
        <v>547</v>
      </c>
      <c r="B167" s="10"/>
      <c r="C167" s="113"/>
      <c r="D167" s="113"/>
      <c r="E167" s="9"/>
      <c r="F167" s="47"/>
      <c r="G167" s="47"/>
      <c r="H167" s="52"/>
      <c r="L167" s="52"/>
      <c r="M167" s="52"/>
    </row>
    <row r="168" spans="1:13" ht="15" hidden="1" customHeight="1" outlineLevel="1" x14ac:dyDescent="0.25">
      <c r="A168" s="90" t="s">
        <v>548</v>
      </c>
      <c r="B168" s="10"/>
      <c r="C168" s="113"/>
      <c r="D168" s="113"/>
      <c r="E168" s="9"/>
      <c r="F168" s="47"/>
      <c r="G168" s="47"/>
      <c r="H168" s="52"/>
      <c r="L168" s="52"/>
      <c r="M168" s="52"/>
    </row>
    <row r="169" spans="1:13" ht="15" hidden="1" customHeight="1" outlineLevel="1" x14ac:dyDescent="0.25">
      <c r="A169" s="90" t="s">
        <v>549</v>
      </c>
      <c r="B169" s="10"/>
      <c r="C169" s="113"/>
      <c r="D169" s="113"/>
      <c r="E169" s="9"/>
      <c r="F169" s="47"/>
      <c r="G169" s="47"/>
      <c r="H169" s="52"/>
      <c r="L169" s="52"/>
      <c r="M169" s="52"/>
    </row>
    <row r="170" spans="1:13" ht="15" hidden="1" customHeight="1" outlineLevel="1" x14ac:dyDescent="0.25">
      <c r="A170" s="90" t="s">
        <v>550</v>
      </c>
      <c r="B170" s="10"/>
      <c r="C170" s="113"/>
      <c r="D170" s="113"/>
      <c r="E170" s="9"/>
      <c r="F170" s="47"/>
      <c r="G170" s="47"/>
      <c r="H170" s="52"/>
      <c r="L170" s="52"/>
      <c r="M170" s="52"/>
    </row>
    <row r="171" spans="1:13" ht="15" customHeight="1" collapsed="1" x14ac:dyDescent="0.25">
      <c r="A171" s="58"/>
      <c r="B171" s="60" t="s">
        <v>691</v>
      </c>
      <c r="C171" s="58" t="s">
        <v>82</v>
      </c>
      <c r="D171" s="58"/>
      <c r="E171" s="46"/>
      <c r="F171" s="59" t="s">
        <v>146</v>
      </c>
      <c r="G171" s="59"/>
      <c r="H171" s="52"/>
      <c r="L171" s="52"/>
      <c r="M171" s="52"/>
    </row>
    <row r="172" spans="1:13" ht="15" customHeight="1" x14ac:dyDescent="0.25">
      <c r="A172" s="90" t="s">
        <v>551</v>
      </c>
      <c r="B172" s="86" t="s">
        <v>264</v>
      </c>
      <c r="C172" s="113">
        <v>0</v>
      </c>
      <c r="D172" s="113"/>
      <c r="E172" s="3"/>
      <c r="F172" s="47">
        <f>IF($C$177=0,"",IF(C172="[for completion]","",C172/$C$177))</f>
        <v>0</v>
      </c>
      <c r="G172" s="47"/>
      <c r="H172" s="52"/>
      <c r="I172" s="90"/>
      <c r="J172" s="90"/>
      <c r="K172" s="90"/>
      <c r="L172" s="52"/>
      <c r="M172" s="52"/>
    </row>
    <row r="173" spans="1:13" ht="15" customHeight="1" x14ac:dyDescent="0.25">
      <c r="A173" s="90" t="s">
        <v>552</v>
      </c>
      <c r="B173" s="86" t="s">
        <v>201</v>
      </c>
      <c r="C173" s="113">
        <v>208978925.69</v>
      </c>
      <c r="D173" s="113"/>
      <c r="E173" s="48"/>
      <c r="F173" s="47">
        <f>IF($C$177=0,"",IF(C173="[for completion]","",C173/$C$177))</f>
        <v>1</v>
      </c>
      <c r="G173" s="47"/>
      <c r="H173" s="52"/>
      <c r="L173" s="52"/>
      <c r="M173" s="52"/>
    </row>
    <row r="174" spans="1:13" ht="15" customHeight="1" x14ac:dyDescent="0.25">
      <c r="A174" s="90" t="s">
        <v>553</v>
      </c>
      <c r="B174" s="54" t="s">
        <v>200</v>
      </c>
      <c r="C174" s="113">
        <v>0</v>
      </c>
      <c r="D174" s="113"/>
      <c r="E174" s="48"/>
      <c r="F174" s="47">
        <f>IF($C$177=0,"",IF(C174="[for completion]","",C174/$C$177))</f>
        <v>0</v>
      </c>
      <c r="G174" s="47"/>
      <c r="H174" s="52"/>
      <c r="L174" s="52"/>
      <c r="M174" s="52"/>
    </row>
    <row r="175" spans="1:13" ht="15" customHeight="1" x14ac:dyDescent="0.25">
      <c r="A175" s="90" t="s">
        <v>554</v>
      </c>
      <c r="B175" s="54" t="s">
        <v>131</v>
      </c>
      <c r="C175" s="113">
        <v>0</v>
      </c>
      <c r="D175" s="113"/>
      <c r="E175" s="48"/>
      <c r="F175" s="47">
        <f>IF($C$177=0,"",IF(C175="[for completion]","",C175/$C$177))</f>
        <v>0</v>
      </c>
      <c r="G175" s="47"/>
      <c r="H175" s="52"/>
      <c r="L175" s="52"/>
      <c r="M175" s="52"/>
    </row>
    <row r="176" spans="1:13" ht="15" customHeight="1" x14ac:dyDescent="0.25">
      <c r="A176" s="90" t="s">
        <v>555</v>
      </c>
      <c r="B176" s="54" t="s">
        <v>2</v>
      </c>
      <c r="C176" s="113">
        <v>0</v>
      </c>
      <c r="D176" s="113"/>
      <c r="E176" s="48"/>
      <c r="F176" s="47">
        <f>IF($C$177=0,"",IF(C176="[for completion]","",C176/$C$177))</f>
        <v>0</v>
      </c>
      <c r="G176" s="47"/>
      <c r="H176" s="52"/>
      <c r="L176" s="52"/>
      <c r="M176" s="52"/>
    </row>
    <row r="177" spans="1:13" ht="15" customHeight="1" x14ac:dyDescent="0.25">
      <c r="A177" s="90" t="s">
        <v>556</v>
      </c>
      <c r="B177" s="8" t="s">
        <v>1</v>
      </c>
      <c r="C177" s="113">
        <f>SUM(C173:C176)</f>
        <v>208978925.69</v>
      </c>
      <c r="D177" s="113"/>
      <c r="E177" s="48"/>
      <c r="F177" s="47">
        <f>SUM(F172:F176)</f>
        <v>1</v>
      </c>
      <c r="G177" s="47"/>
      <c r="H177" s="52"/>
      <c r="L177" s="52"/>
      <c r="M177" s="52"/>
    </row>
    <row r="178" spans="1:13" ht="15" hidden="1" customHeight="1" outlineLevel="1" x14ac:dyDescent="0.25">
      <c r="A178" s="90" t="s">
        <v>557</v>
      </c>
      <c r="B178" s="68" t="s">
        <v>202</v>
      </c>
      <c r="C178" s="113"/>
      <c r="D178" s="113"/>
      <c r="E178" s="48"/>
      <c r="F178" s="47" t="str">
        <f t="shared" ref="F178:F189" si="13">IF($C$177=0,"",IF(C178="","",C178/$C$177))</f>
        <v/>
      </c>
      <c r="G178" s="47"/>
      <c r="H178" s="52"/>
      <c r="L178" s="52"/>
      <c r="M178" s="52"/>
    </row>
    <row r="179" spans="1:13" s="68" customFormat="1" ht="15" hidden="1" customHeight="1" outlineLevel="1" x14ac:dyDescent="0.25">
      <c r="A179" s="90" t="s">
        <v>558</v>
      </c>
      <c r="B179" s="68" t="s">
        <v>219</v>
      </c>
      <c r="C179" s="113"/>
      <c r="D179" s="113"/>
      <c r="F179" s="47" t="str">
        <f t="shared" si="13"/>
        <v/>
      </c>
      <c r="G179" s="47"/>
    </row>
    <row r="180" spans="1:13" ht="15" hidden="1" customHeight="1" outlineLevel="1" x14ac:dyDescent="0.25">
      <c r="A180" s="90" t="s">
        <v>559</v>
      </c>
      <c r="B180" s="68" t="s">
        <v>220</v>
      </c>
      <c r="C180" s="113"/>
      <c r="D180" s="113"/>
      <c r="E180" s="48"/>
      <c r="F180" s="47" t="str">
        <f t="shared" si="13"/>
        <v/>
      </c>
      <c r="G180" s="47"/>
      <c r="H180" s="52"/>
      <c r="L180" s="52"/>
      <c r="M180" s="52"/>
    </row>
    <row r="181" spans="1:13" ht="15" hidden="1" customHeight="1" outlineLevel="1" x14ac:dyDescent="0.25">
      <c r="A181" s="90" t="s">
        <v>560</v>
      </c>
      <c r="B181" s="68" t="s">
        <v>203</v>
      </c>
      <c r="C181" s="113"/>
      <c r="D181" s="113"/>
      <c r="E181" s="48"/>
      <c r="F181" s="47" t="str">
        <f t="shared" si="13"/>
        <v/>
      </c>
      <c r="G181" s="47"/>
      <c r="H181" s="52"/>
      <c r="L181" s="52"/>
      <c r="M181" s="52"/>
    </row>
    <row r="182" spans="1:13" s="68" customFormat="1" ht="15" hidden="1" customHeight="1" outlineLevel="1" x14ac:dyDescent="0.25">
      <c r="A182" s="90" t="s">
        <v>561</v>
      </c>
      <c r="B182" s="68" t="s">
        <v>221</v>
      </c>
      <c r="C182" s="113"/>
      <c r="D182" s="113"/>
      <c r="F182" s="47" t="str">
        <f t="shared" si="13"/>
        <v/>
      </c>
      <c r="G182" s="47"/>
    </row>
    <row r="183" spans="1:13" ht="15" hidden="1" customHeight="1" outlineLevel="1" x14ac:dyDescent="0.25">
      <c r="A183" s="90" t="s">
        <v>562</v>
      </c>
      <c r="B183" s="68" t="s">
        <v>222</v>
      </c>
      <c r="C183" s="113"/>
      <c r="D183" s="113"/>
      <c r="E183" s="48"/>
      <c r="F183" s="47" t="str">
        <f t="shared" si="13"/>
        <v/>
      </c>
      <c r="G183" s="47"/>
      <c r="H183" s="52"/>
      <c r="L183" s="52"/>
      <c r="M183" s="52"/>
    </row>
    <row r="184" spans="1:13" ht="15" hidden="1" customHeight="1" outlineLevel="1" x14ac:dyDescent="0.25">
      <c r="A184" s="90" t="s">
        <v>563</v>
      </c>
      <c r="B184" s="68" t="s">
        <v>189</v>
      </c>
      <c r="C184" s="113"/>
      <c r="D184" s="113"/>
      <c r="E184" s="48"/>
      <c r="F184" s="47" t="str">
        <f t="shared" si="13"/>
        <v/>
      </c>
      <c r="G184" s="47"/>
      <c r="H184" s="52"/>
      <c r="L184" s="52"/>
      <c r="M184" s="52"/>
    </row>
    <row r="185" spans="1:13" ht="15" hidden="1" customHeight="1" outlineLevel="1" x14ac:dyDescent="0.25">
      <c r="A185" s="90" t="s">
        <v>564</v>
      </c>
      <c r="B185" s="68" t="s">
        <v>190</v>
      </c>
      <c r="C185" s="113"/>
      <c r="D185" s="113"/>
      <c r="E185" s="48"/>
      <c r="F185" s="47" t="str">
        <f t="shared" si="13"/>
        <v/>
      </c>
      <c r="G185" s="47"/>
      <c r="H185" s="52"/>
      <c r="L185" s="52"/>
      <c r="M185" s="52"/>
    </row>
    <row r="186" spans="1:13" ht="15" hidden="1" customHeight="1" outlineLevel="1" x14ac:dyDescent="0.25">
      <c r="A186" s="90" t="s">
        <v>565</v>
      </c>
      <c r="B186" s="68"/>
      <c r="C186" s="113"/>
      <c r="D186" s="113"/>
      <c r="E186" s="48"/>
      <c r="F186" s="47" t="str">
        <f t="shared" si="13"/>
        <v/>
      </c>
      <c r="G186" s="47"/>
      <c r="H186" s="52"/>
      <c r="L186" s="52"/>
      <c r="M186" s="52"/>
    </row>
    <row r="187" spans="1:13" ht="15" hidden="1" customHeight="1" outlineLevel="1" x14ac:dyDescent="0.25">
      <c r="A187" s="90" t="s">
        <v>566</v>
      </c>
      <c r="B187" s="68"/>
      <c r="C187" s="113"/>
      <c r="D187" s="113"/>
      <c r="E187" s="48"/>
      <c r="F187" s="47" t="str">
        <f t="shared" si="13"/>
        <v/>
      </c>
      <c r="G187" s="47"/>
      <c r="H187" s="52"/>
      <c r="L187" s="52"/>
      <c r="M187" s="52"/>
    </row>
    <row r="188" spans="1:13" ht="15" hidden="1" customHeight="1" outlineLevel="1" x14ac:dyDescent="0.25">
      <c r="A188" s="90" t="s">
        <v>567</v>
      </c>
      <c r="B188" s="68"/>
      <c r="C188" s="113"/>
      <c r="D188" s="113"/>
      <c r="E188" s="48"/>
      <c r="F188" s="47" t="str">
        <f t="shared" si="13"/>
        <v/>
      </c>
      <c r="G188" s="47"/>
      <c r="H188" s="52"/>
      <c r="L188" s="52"/>
      <c r="M188" s="52"/>
    </row>
    <row r="189" spans="1:13" ht="15" hidden="1" customHeight="1" outlineLevel="1" x14ac:dyDescent="0.25">
      <c r="A189" s="90" t="s">
        <v>568</v>
      </c>
      <c r="B189" s="67"/>
      <c r="C189" s="113"/>
      <c r="D189" s="113"/>
      <c r="E189" s="48"/>
      <c r="F189" s="47" t="str">
        <f t="shared" si="13"/>
        <v/>
      </c>
      <c r="G189" s="47"/>
      <c r="H189" s="52"/>
      <c r="L189" s="52"/>
      <c r="M189" s="52"/>
    </row>
    <row r="190" spans="1:13" ht="15" customHeight="1" collapsed="1" x14ac:dyDescent="0.25">
      <c r="A190" s="58"/>
      <c r="B190" s="60" t="s">
        <v>692</v>
      </c>
      <c r="C190" s="58" t="s">
        <v>82</v>
      </c>
      <c r="D190" s="58"/>
      <c r="E190" s="46"/>
      <c r="F190" s="59" t="s">
        <v>146</v>
      </c>
      <c r="G190" s="59"/>
      <c r="H190" s="52"/>
      <c r="L190" s="52"/>
      <c r="M190" s="52"/>
    </row>
    <row r="191" spans="1:13" ht="15" customHeight="1" x14ac:dyDescent="0.25">
      <c r="A191" s="90" t="s">
        <v>569</v>
      </c>
      <c r="B191" s="86" t="s">
        <v>1065</v>
      </c>
      <c r="C191" s="113">
        <v>208978925.69</v>
      </c>
      <c r="D191" s="113"/>
      <c r="E191" s="55"/>
      <c r="F191" s="47">
        <f t="shared" ref="F191:F205" si="14">IF($C$206=0,"",IF(C191="ND1","",C191/$C$206))</f>
        <v>1</v>
      </c>
      <c r="G191" s="47"/>
      <c r="H191" s="52"/>
      <c r="L191" s="52"/>
      <c r="M191" s="52"/>
    </row>
    <row r="192" spans="1:13" ht="15" customHeight="1" x14ac:dyDescent="0.25">
      <c r="A192" s="90" t="s">
        <v>570</v>
      </c>
      <c r="B192" s="54" t="s">
        <v>89</v>
      </c>
      <c r="C192" s="113">
        <v>0</v>
      </c>
      <c r="D192" s="113"/>
      <c r="E192" s="48"/>
      <c r="F192" s="47">
        <f t="shared" si="14"/>
        <v>0</v>
      </c>
      <c r="G192" s="47"/>
      <c r="H192" s="52"/>
      <c r="L192" s="52"/>
      <c r="M192" s="52"/>
    </row>
    <row r="193" spans="1:13" ht="15" customHeight="1" x14ac:dyDescent="0.25">
      <c r="A193" s="90" t="s">
        <v>571</v>
      </c>
      <c r="B193" s="54" t="s">
        <v>125</v>
      </c>
      <c r="C193" s="113">
        <v>0</v>
      </c>
      <c r="D193" s="113"/>
      <c r="E193" s="48"/>
      <c r="F193" s="47">
        <f t="shared" si="14"/>
        <v>0</v>
      </c>
      <c r="G193" s="47"/>
      <c r="H193" s="52"/>
      <c r="L193" s="52"/>
      <c r="M193" s="52"/>
    </row>
    <row r="194" spans="1:13" ht="15" customHeight="1" x14ac:dyDescent="0.25">
      <c r="A194" s="90" t="s">
        <v>572</v>
      </c>
      <c r="B194" s="54" t="s">
        <v>114</v>
      </c>
      <c r="C194" s="113">
        <v>0</v>
      </c>
      <c r="D194" s="113"/>
      <c r="E194" s="48"/>
      <c r="F194" s="47">
        <f t="shared" si="14"/>
        <v>0</v>
      </c>
      <c r="G194" s="47"/>
      <c r="H194" s="52"/>
      <c r="L194" s="52"/>
      <c r="M194" s="52"/>
    </row>
    <row r="195" spans="1:13" ht="15" customHeight="1" x14ac:dyDescent="0.25">
      <c r="A195" s="90" t="s">
        <v>573</v>
      </c>
      <c r="B195" s="54" t="s">
        <v>118</v>
      </c>
      <c r="C195" s="113">
        <v>0</v>
      </c>
      <c r="D195" s="113"/>
      <c r="E195" s="48"/>
      <c r="F195" s="47">
        <f t="shared" si="14"/>
        <v>0</v>
      </c>
      <c r="G195" s="47"/>
      <c r="H195" s="52"/>
      <c r="L195" s="52"/>
      <c r="M195" s="52"/>
    </row>
    <row r="196" spans="1:13" ht="15" customHeight="1" x14ac:dyDescent="0.25">
      <c r="A196" s="90" t="s">
        <v>574</v>
      </c>
      <c r="B196" s="54" t="s">
        <v>119</v>
      </c>
      <c r="C196" s="113">
        <v>0</v>
      </c>
      <c r="D196" s="113"/>
      <c r="E196" s="48"/>
      <c r="F196" s="47">
        <f t="shared" si="14"/>
        <v>0</v>
      </c>
      <c r="G196" s="47"/>
      <c r="H196" s="52"/>
      <c r="L196" s="52"/>
      <c r="M196" s="52"/>
    </row>
    <row r="197" spans="1:13" ht="15" customHeight="1" x14ac:dyDescent="0.25">
      <c r="A197" s="90" t="s">
        <v>575</v>
      </c>
      <c r="B197" s="54" t="s">
        <v>140</v>
      </c>
      <c r="C197" s="113">
        <v>0</v>
      </c>
      <c r="D197" s="113"/>
      <c r="E197" s="48"/>
      <c r="F197" s="47">
        <f t="shared" si="14"/>
        <v>0</v>
      </c>
      <c r="G197" s="47"/>
      <c r="H197" s="52"/>
      <c r="L197" s="52"/>
      <c r="M197" s="52"/>
    </row>
    <row r="198" spans="1:13" ht="15" customHeight="1" x14ac:dyDescent="0.25">
      <c r="A198" s="90" t="s">
        <v>576</v>
      </c>
      <c r="B198" s="54" t="s">
        <v>120</v>
      </c>
      <c r="C198" s="113">
        <v>0</v>
      </c>
      <c r="D198" s="113"/>
      <c r="E198" s="48"/>
      <c r="F198" s="47">
        <f t="shared" si="14"/>
        <v>0</v>
      </c>
      <c r="G198" s="47"/>
      <c r="H198" s="52"/>
      <c r="L198" s="52"/>
      <c r="M198" s="52"/>
    </row>
    <row r="199" spans="1:13" ht="15" customHeight="1" x14ac:dyDescent="0.25">
      <c r="A199" s="90" t="s">
        <v>577</v>
      </c>
      <c r="B199" s="54" t="s">
        <v>121</v>
      </c>
      <c r="C199" s="113">
        <v>0</v>
      </c>
      <c r="D199" s="113"/>
      <c r="E199" s="48"/>
      <c r="F199" s="47">
        <f t="shared" si="14"/>
        <v>0</v>
      </c>
      <c r="G199" s="47"/>
      <c r="H199" s="52"/>
      <c r="L199" s="52"/>
      <c r="M199" s="52"/>
    </row>
    <row r="200" spans="1:13" ht="15" customHeight="1" x14ac:dyDescent="0.25">
      <c r="A200" s="90" t="s">
        <v>578</v>
      </c>
      <c r="B200" s="54" t="s">
        <v>122</v>
      </c>
      <c r="C200" s="113">
        <v>0</v>
      </c>
      <c r="D200" s="113"/>
      <c r="E200" s="48"/>
      <c r="F200" s="47">
        <f t="shared" si="14"/>
        <v>0</v>
      </c>
      <c r="G200" s="47"/>
      <c r="H200" s="52"/>
      <c r="L200" s="52"/>
      <c r="M200" s="52"/>
    </row>
    <row r="201" spans="1:13" ht="15" customHeight="1" x14ac:dyDescent="0.25">
      <c r="A201" s="90" t="s">
        <v>579</v>
      </c>
      <c r="B201" s="54" t="s">
        <v>123</v>
      </c>
      <c r="C201" s="113">
        <v>0</v>
      </c>
      <c r="D201" s="113"/>
      <c r="E201" s="48"/>
      <c r="F201" s="47">
        <f t="shared" si="14"/>
        <v>0</v>
      </c>
      <c r="G201" s="47"/>
      <c r="H201" s="52"/>
      <c r="L201" s="52"/>
      <c r="M201" s="52"/>
    </row>
    <row r="202" spans="1:13" ht="15" customHeight="1" x14ac:dyDescent="0.25">
      <c r="A202" s="90" t="s">
        <v>580</v>
      </c>
      <c r="B202" s="54" t="s">
        <v>126</v>
      </c>
      <c r="C202" s="113">
        <v>0</v>
      </c>
      <c r="D202" s="113"/>
      <c r="E202" s="48"/>
      <c r="F202" s="47">
        <f t="shared" si="14"/>
        <v>0</v>
      </c>
      <c r="G202" s="47"/>
      <c r="H202" s="52"/>
      <c r="I202" s="90"/>
      <c r="L202" s="52"/>
      <c r="M202" s="52"/>
    </row>
    <row r="203" spans="1:13" ht="15" customHeight="1" x14ac:dyDescent="0.25">
      <c r="A203" s="90" t="s">
        <v>581</v>
      </c>
      <c r="B203" s="54" t="s">
        <v>124</v>
      </c>
      <c r="C203" s="113">
        <v>0</v>
      </c>
      <c r="D203" s="113"/>
      <c r="E203" s="48"/>
      <c r="F203" s="47">
        <f t="shared" si="14"/>
        <v>0</v>
      </c>
      <c r="G203" s="47"/>
      <c r="H203" s="52"/>
      <c r="I203" s="90"/>
      <c r="L203" s="52"/>
      <c r="M203" s="52"/>
    </row>
    <row r="204" spans="1:13" ht="17.25" customHeight="1" x14ac:dyDescent="0.25">
      <c r="A204" s="90" t="s">
        <v>582</v>
      </c>
      <c r="B204" s="54" t="s">
        <v>2</v>
      </c>
      <c r="C204" s="113">
        <v>0</v>
      </c>
      <c r="D204" s="113"/>
      <c r="E204" s="48"/>
      <c r="F204" s="47">
        <f t="shared" si="14"/>
        <v>0</v>
      </c>
      <c r="G204" s="47"/>
      <c r="H204" s="52"/>
      <c r="I204" s="90"/>
      <c r="L204" s="52"/>
      <c r="M204" s="52"/>
    </row>
    <row r="205" spans="1:13" ht="15" customHeight="1" x14ac:dyDescent="0.25">
      <c r="A205" s="90" t="s">
        <v>583</v>
      </c>
      <c r="B205" s="56" t="s">
        <v>204</v>
      </c>
      <c r="C205" s="113">
        <f>C191</f>
        <v>208978925.69</v>
      </c>
      <c r="D205" s="113"/>
      <c r="E205" s="48"/>
      <c r="F205" s="47">
        <f t="shared" si="14"/>
        <v>1</v>
      </c>
      <c r="G205" s="47"/>
      <c r="H205" s="52"/>
      <c r="I205" s="90"/>
      <c r="L205" s="52"/>
      <c r="M205" s="52"/>
    </row>
    <row r="206" spans="1:13" ht="15" customHeight="1" x14ac:dyDescent="0.25">
      <c r="A206" s="90" t="s">
        <v>584</v>
      </c>
      <c r="B206" s="8" t="s">
        <v>1</v>
      </c>
      <c r="C206" s="113">
        <f>SUM(C191:C204)</f>
        <v>208978925.69</v>
      </c>
      <c r="D206" s="113"/>
      <c r="E206" s="48"/>
      <c r="F206" s="47">
        <f>SUM(F191:F204)</f>
        <v>1</v>
      </c>
      <c r="G206" s="47"/>
      <c r="H206" s="52"/>
      <c r="I206" s="90"/>
      <c r="L206" s="52"/>
      <c r="M206" s="52"/>
    </row>
    <row r="207" spans="1:13" ht="15" hidden="1" customHeight="1" outlineLevel="1" x14ac:dyDescent="0.25">
      <c r="A207" s="90" t="s">
        <v>1099</v>
      </c>
      <c r="B207" s="67" t="s">
        <v>154</v>
      </c>
      <c r="C207" s="113"/>
      <c r="D207" s="113"/>
      <c r="E207" s="48"/>
      <c r="F207" s="47" t="str">
        <f t="shared" ref="F207:F213" si="15">IF($C$206=0,"",IF(C207="","",C207/$C$206))</f>
        <v/>
      </c>
      <c r="G207" s="47"/>
      <c r="H207" s="52"/>
      <c r="I207" s="90"/>
      <c r="J207" s="90"/>
      <c r="K207" s="90"/>
      <c r="L207" s="52"/>
      <c r="M207" s="52"/>
    </row>
    <row r="208" spans="1:13" ht="15" hidden="1" customHeight="1" outlineLevel="1" x14ac:dyDescent="0.25">
      <c r="A208" s="90" t="s">
        <v>1100</v>
      </c>
      <c r="B208" s="67" t="s">
        <v>154</v>
      </c>
      <c r="C208" s="113"/>
      <c r="D208" s="113"/>
      <c r="E208" s="48"/>
      <c r="F208" s="47" t="str">
        <f t="shared" si="15"/>
        <v/>
      </c>
      <c r="G208" s="47"/>
      <c r="H208" s="52"/>
      <c r="I208" s="90"/>
      <c r="J208" s="90"/>
      <c r="K208" s="90"/>
      <c r="L208" s="52"/>
      <c r="M208" s="52"/>
    </row>
    <row r="209" spans="1:13" ht="15" hidden="1" customHeight="1" outlineLevel="1" x14ac:dyDescent="0.25">
      <c r="A209" s="90" t="s">
        <v>1101</v>
      </c>
      <c r="B209" s="67" t="s">
        <v>154</v>
      </c>
      <c r="C209" s="113"/>
      <c r="D209" s="113"/>
      <c r="E209" s="48"/>
      <c r="F209" s="47" t="str">
        <f t="shared" si="15"/>
        <v/>
      </c>
      <c r="G209" s="47"/>
      <c r="H209" s="52"/>
      <c r="I209" s="90"/>
      <c r="J209" s="90"/>
      <c r="K209" s="90"/>
      <c r="L209" s="52"/>
      <c r="M209" s="52"/>
    </row>
    <row r="210" spans="1:13" ht="15" hidden="1" customHeight="1" outlineLevel="1" x14ac:dyDescent="0.25">
      <c r="A210" s="90" t="s">
        <v>1102</v>
      </c>
      <c r="B210" s="67" t="s">
        <v>154</v>
      </c>
      <c r="C210" s="113"/>
      <c r="D210" s="113"/>
      <c r="E210" s="48"/>
      <c r="F210" s="47" t="str">
        <f t="shared" si="15"/>
        <v/>
      </c>
      <c r="G210" s="47"/>
      <c r="H210" s="52"/>
      <c r="I210" s="90"/>
      <c r="J210" s="90"/>
      <c r="K210" s="90"/>
      <c r="L210" s="52"/>
      <c r="M210" s="52"/>
    </row>
    <row r="211" spans="1:13" ht="15" hidden="1" customHeight="1" outlineLevel="1" x14ac:dyDescent="0.25">
      <c r="A211" s="90" t="s">
        <v>1103</v>
      </c>
      <c r="B211" s="67" t="s">
        <v>154</v>
      </c>
      <c r="C211" s="113"/>
      <c r="D211" s="113"/>
      <c r="E211" s="48"/>
      <c r="F211" s="47" t="str">
        <f t="shared" si="15"/>
        <v/>
      </c>
      <c r="G211" s="47"/>
      <c r="H211" s="52"/>
      <c r="I211" s="90"/>
      <c r="J211" s="90"/>
      <c r="K211" s="90"/>
      <c r="L211" s="52"/>
      <c r="M211" s="52"/>
    </row>
    <row r="212" spans="1:13" ht="15" hidden="1" customHeight="1" outlineLevel="1" x14ac:dyDescent="0.25">
      <c r="A212" s="90" t="s">
        <v>1104</v>
      </c>
      <c r="B212" s="67" t="s">
        <v>154</v>
      </c>
      <c r="C212" s="113"/>
      <c r="D212" s="113"/>
      <c r="E212" s="48"/>
      <c r="F212" s="47" t="str">
        <f t="shared" si="15"/>
        <v/>
      </c>
      <c r="G212" s="47"/>
      <c r="H212" s="52"/>
      <c r="I212" s="90"/>
      <c r="J212" s="90"/>
      <c r="K212" s="90"/>
      <c r="L212" s="52"/>
      <c r="M212" s="52"/>
    </row>
    <row r="213" spans="1:13" ht="15" hidden="1" customHeight="1" outlineLevel="1" x14ac:dyDescent="0.25">
      <c r="A213" s="90" t="s">
        <v>1105</v>
      </c>
      <c r="B213" s="67" t="s">
        <v>154</v>
      </c>
      <c r="C213" s="113"/>
      <c r="D213" s="113"/>
      <c r="E213" s="48"/>
      <c r="F213" s="47" t="str">
        <f t="shared" si="15"/>
        <v/>
      </c>
      <c r="G213" s="47"/>
      <c r="H213" s="52"/>
      <c r="I213" s="90"/>
      <c r="J213" s="90"/>
      <c r="K213" s="90"/>
      <c r="L213" s="52"/>
      <c r="M213" s="52"/>
    </row>
    <row r="214" spans="1:13" ht="15" customHeight="1" collapsed="1" x14ac:dyDescent="0.25">
      <c r="A214" s="58"/>
      <c r="B214" s="60" t="s">
        <v>693</v>
      </c>
      <c r="C214" s="58" t="s">
        <v>82</v>
      </c>
      <c r="D214" s="58"/>
      <c r="E214" s="46"/>
      <c r="F214" s="59" t="s">
        <v>145</v>
      </c>
      <c r="G214" s="59" t="s">
        <v>56</v>
      </c>
      <c r="H214" s="52"/>
      <c r="I214" s="90"/>
      <c r="L214" s="52"/>
      <c r="M214" s="52"/>
    </row>
    <row r="215" spans="1:13" ht="15" customHeight="1" x14ac:dyDescent="0.25">
      <c r="A215" s="90" t="s">
        <v>585</v>
      </c>
      <c r="B215" s="7" t="s">
        <v>167</v>
      </c>
      <c r="C215" s="113">
        <v>0</v>
      </c>
      <c r="D215" s="113"/>
      <c r="E215" s="9"/>
      <c r="F215" s="47">
        <f>IF($C$218=0,"",IF(C215="[for completion]","",C215/$C$218))</f>
        <v>0</v>
      </c>
      <c r="G215" s="47">
        <f>IF($C$218=0,"",IF(C215="[for completion]","",C215/$C$218))</f>
        <v>0</v>
      </c>
      <c r="H215" s="52"/>
      <c r="I215" s="90"/>
      <c r="L215" s="52"/>
      <c r="M215" s="52"/>
    </row>
    <row r="216" spans="1:13" ht="15" customHeight="1" x14ac:dyDescent="0.25">
      <c r="A216" s="90" t="s">
        <v>586</v>
      </c>
      <c r="B216" s="7" t="s">
        <v>166</v>
      </c>
      <c r="C216" s="113">
        <v>280000000</v>
      </c>
      <c r="D216" s="113"/>
      <c r="E216" s="9"/>
      <c r="F216" s="47">
        <f>IF($C$218=0,"",IF(C216="[for completion]","",C216/$C$218))</f>
        <v>1</v>
      </c>
      <c r="G216" s="47">
        <f>IF($C$218=0,"",IF(C216="[for completion]","",C216/$C$218))</f>
        <v>1</v>
      </c>
      <c r="H216" s="52"/>
      <c r="I216" s="90"/>
      <c r="L216" s="52"/>
      <c r="M216" s="52"/>
    </row>
    <row r="217" spans="1:13" ht="15" customHeight="1" x14ac:dyDescent="0.25">
      <c r="A217" s="90" t="s">
        <v>587</v>
      </c>
      <c r="B217" s="7" t="s">
        <v>2</v>
      </c>
      <c r="C217" s="113">
        <v>0</v>
      </c>
      <c r="D217" s="113"/>
      <c r="E217" s="9"/>
      <c r="F217" s="47">
        <f>IF($C$218=0,"",IF(C217="[for completion]","",C217/$C$218))</f>
        <v>0</v>
      </c>
      <c r="G217" s="47">
        <f>IF($C$218=0,"",IF(C217="[for completion]","",C217/$C$218))</f>
        <v>0</v>
      </c>
      <c r="H217" s="52"/>
      <c r="I217" s="90"/>
      <c r="L217" s="52"/>
      <c r="M217" s="52"/>
    </row>
    <row r="218" spans="1:13" ht="15" customHeight="1" x14ac:dyDescent="0.25">
      <c r="A218" s="90" t="s">
        <v>588</v>
      </c>
      <c r="B218" s="8" t="s">
        <v>1</v>
      </c>
      <c r="C218" s="113">
        <f>SUM(C215:C217)</f>
        <v>280000000</v>
      </c>
      <c r="D218" s="113"/>
      <c r="E218" s="9"/>
      <c r="F218" s="47">
        <f>SUM(F215:F217)</f>
        <v>1</v>
      </c>
      <c r="G218" s="47">
        <f>SUM(G215:G217)</f>
        <v>1</v>
      </c>
      <c r="H218" s="52"/>
      <c r="I218" s="90"/>
      <c r="L218" s="52"/>
      <c r="M218" s="52"/>
    </row>
    <row r="219" spans="1:13" ht="15" customHeight="1" outlineLevel="1" x14ac:dyDescent="0.25">
      <c r="A219" s="90" t="s">
        <v>1092</v>
      </c>
      <c r="B219" s="67" t="s">
        <v>1274</v>
      </c>
      <c r="C219" s="113">
        <f>+C56</f>
        <v>208978925.69</v>
      </c>
      <c r="D219" s="113"/>
      <c r="E219" s="9"/>
      <c r="F219" s="47">
        <f t="shared" ref="F219:F225" si="16">IF($C$218=0,"",IF(C219="","",C219/$C$218))</f>
        <v>0.74635330603571426</v>
      </c>
      <c r="G219" s="47">
        <f t="shared" ref="G219:G225" si="17">IF($C$218=0,"",IF(C219="","",C219/$C$218))</f>
        <v>0.74635330603571426</v>
      </c>
      <c r="H219" s="52"/>
      <c r="I219" s="90"/>
      <c r="J219" s="90"/>
      <c r="K219" s="90"/>
      <c r="L219" s="52"/>
      <c r="M219" s="52"/>
    </row>
    <row r="220" spans="1:13" ht="15" customHeight="1" outlineLevel="1" x14ac:dyDescent="0.25">
      <c r="A220" s="90" t="s">
        <v>1093</v>
      </c>
      <c r="B220" s="67" t="s">
        <v>1275</v>
      </c>
      <c r="C220" s="113">
        <f>+C218-C219</f>
        <v>71021074.310000002</v>
      </c>
      <c r="D220" s="113"/>
      <c r="E220" s="9"/>
      <c r="F220" s="47">
        <f t="shared" si="16"/>
        <v>0.25364669396428574</v>
      </c>
      <c r="G220" s="47">
        <f t="shared" si="17"/>
        <v>0.25364669396428574</v>
      </c>
      <c r="H220" s="52"/>
      <c r="I220" s="90"/>
      <c r="J220" s="90"/>
      <c r="K220" s="90"/>
      <c r="L220" s="52"/>
      <c r="M220" s="52"/>
    </row>
    <row r="221" spans="1:13" ht="15" customHeight="1" outlineLevel="1" x14ac:dyDescent="0.25">
      <c r="A221" s="90" t="s">
        <v>1094</v>
      </c>
      <c r="B221" s="67"/>
      <c r="C221" s="113"/>
      <c r="D221" s="113"/>
      <c r="E221" s="9"/>
      <c r="F221" s="47" t="str">
        <f t="shared" si="16"/>
        <v/>
      </c>
      <c r="G221" s="47" t="str">
        <f t="shared" si="17"/>
        <v/>
      </c>
      <c r="H221" s="52"/>
      <c r="I221" s="90"/>
      <c r="J221" s="90"/>
      <c r="K221" s="90"/>
      <c r="L221" s="52"/>
      <c r="M221" s="52"/>
    </row>
    <row r="222" spans="1:13" ht="15" customHeight="1" outlineLevel="1" x14ac:dyDescent="0.25">
      <c r="A222" s="90" t="s">
        <v>1095</v>
      </c>
      <c r="B222" s="67"/>
      <c r="C222" s="113"/>
      <c r="D222" s="113"/>
      <c r="E222" s="9"/>
      <c r="F222" s="47" t="str">
        <f t="shared" si="16"/>
        <v/>
      </c>
      <c r="G222" s="47" t="str">
        <f t="shared" si="17"/>
        <v/>
      </c>
      <c r="H222" s="52"/>
      <c r="I222" s="90"/>
      <c r="J222" s="90"/>
      <c r="K222" s="90"/>
      <c r="L222" s="52"/>
      <c r="M222" s="52"/>
    </row>
    <row r="223" spans="1:13" ht="15" customHeight="1" outlineLevel="1" x14ac:dyDescent="0.25">
      <c r="A223" s="90" t="s">
        <v>1096</v>
      </c>
      <c r="B223" s="67"/>
      <c r="C223" s="113"/>
      <c r="D223" s="113"/>
      <c r="E223" s="9"/>
      <c r="F223" s="47" t="str">
        <f t="shared" si="16"/>
        <v/>
      </c>
      <c r="G223" s="47" t="str">
        <f t="shared" si="17"/>
        <v/>
      </c>
      <c r="H223" s="52"/>
      <c r="I223" s="90"/>
      <c r="J223" s="90"/>
      <c r="K223" s="90"/>
      <c r="L223" s="52"/>
      <c r="M223" s="52"/>
    </row>
    <row r="224" spans="1:13" ht="15" customHeight="1" outlineLevel="1" x14ac:dyDescent="0.25">
      <c r="A224" s="90" t="s">
        <v>1097</v>
      </c>
      <c r="B224" s="67"/>
      <c r="C224" s="113"/>
      <c r="D224" s="113"/>
      <c r="E224" s="86"/>
      <c r="F224" s="47" t="str">
        <f t="shared" si="16"/>
        <v/>
      </c>
      <c r="G224" s="47" t="str">
        <f t="shared" si="17"/>
        <v/>
      </c>
      <c r="H224" s="52"/>
      <c r="I224" s="90"/>
      <c r="J224" s="90"/>
      <c r="K224" s="90"/>
      <c r="L224" s="52"/>
      <c r="M224" s="52"/>
    </row>
    <row r="225" spans="1:14" ht="15" customHeight="1" outlineLevel="1" x14ac:dyDescent="0.25">
      <c r="A225" s="90" t="s">
        <v>1098</v>
      </c>
      <c r="B225" s="67"/>
      <c r="C225" s="113"/>
      <c r="D225" s="113"/>
      <c r="E225" s="9"/>
      <c r="F225" s="47" t="str">
        <f t="shared" si="16"/>
        <v/>
      </c>
      <c r="G225" s="47" t="str">
        <f t="shared" si="17"/>
        <v/>
      </c>
      <c r="H225" s="52"/>
      <c r="I225" s="90"/>
      <c r="J225" s="90"/>
      <c r="K225" s="90"/>
      <c r="L225" s="52"/>
      <c r="M225" s="52"/>
    </row>
    <row r="226" spans="1:14" ht="15" customHeight="1" x14ac:dyDescent="0.25">
      <c r="A226" s="58"/>
      <c r="B226" s="60" t="s">
        <v>694</v>
      </c>
      <c r="C226" s="58"/>
      <c r="D226" s="58"/>
      <c r="E226" s="46"/>
      <c r="F226" s="59"/>
      <c r="G226" s="59"/>
      <c r="H226" s="52"/>
      <c r="L226" s="52"/>
      <c r="M226" s="52"/>
    </row>
    <row r="227" spans="1:14" ht="53.25" customHeight="1" x14ac:dyDescent="0.25">
      <c r="A227" s="90" t="s">
        <v>589</v>
      </c>
      <c r="B227" s="54" t="s">
        <v>43</v>
      </c>
      <c r="C227" s="62" t="s">
        <v>1273</v>
      </c>
      <c r="H227" s="52"/>
      <c r="L227" s="52"/>
      <c r="M227" s="52"/>
    </row>
    <row r="228" spans="1:14" ht="15" customHeight="1" x14ac:dyDescent="0.25">
      <c r="A228" s="58"/>
      <c r="B228" s="60" t="s">
        <v>695</v>
      </c>
      <c r="C228" s="58"/>
      <c r="D228" s="58"/>
      <c r="E228" s="46"/>
      <c r="F228" s="59"/>
      <c r="G228" s="59"/>
      <c r="H228" s="52"/>
      <c r="L228" s="52"/>
      <c r="M228" s="52"/>
    </row>
    <row r="229" spans="1:14" ht="15" customHeight="1" x14ac:dyDescent="0.25">
      <c r="A229" s="90" t="s">
        <v>590</v>
      </c>
      <c r="B229" s="90" t="s">
        <v>247</v>
      </c>
      <c r="C229" s="113">
        <v>0</v>
      </c>
      <c r="E229" s="54"/>
      <c r="H229" s="52"/>
      <c r="L229" s="52"/>
      <c r="M229" s="52"/>
    </row>
    <row r="230" spans="1:14" ht="15" customHeight="1" x14ac:dyDescent="0.25">
      <c r="A230" s="90" t="s">
        <v>591</v>
      </c>
      <c r="B230" s="94" t="s">
        <v>236</v>
      </c>
      <c r="C230" s="113" t="s">
        <v>186</v>
      </c>
      <c r="E230" s="54"/>
      <c r="H230" s="52"/>
      <c r="L230" s="52"/>
      <c r="M230" s="52"/>
    </row>
    <row r="231" spans="1:14" ht="15" customHeight="1" x14ac:dyDescent="0.25">
      <c r="A231" s="90" t="s">
        <v>592</v>
      </c>
      <c r="B231" s="94" t="s">
        <v>237</v>
      </c>
      <c r="C231" s="113" t="s">
        <v>186</v>
      </c>
      <c r="E231" s="54"/>
      <c r="H231" s="52"/>
      <c r="L231" s="52"/>
      <c r="M231" s="52"/>
    </row>
    <row r="232" spans="1:14" ht="15" hidden="1" customHeight="1" outlineLevel="1" x14ac:dyDescent="0.25">
      <c r="A232" s="90" t="s">
        <v>593</v>
      </c>
      <c r="B232" s="91" t="s">
        <v>249</v>
      </c>
      <c r="C232" s="113">
        <v>0</v>
      </c>
      <c r="D232" s="54"/>
      <c r="E232" s="54"/>
      <c r="H232" s="52"/>
      <c r="L232" s="52"/>
      <c r="M232" s="52"/>
    </row>
    <row r="233" spans="1:14" ht="15" hidden="1" customHeight="1" outlineLevel="1" x14ac:dyDescent="0.25">
      <c r="A233" s="90" t="s">
        <v>594</v>
      </c>
      <c r="B233" s="91" t="s">
        <v>248</v>
      </c>
      <c r="C233" s="113">
        <v>1253289760651.5</v>
      </c>
      <c r="D233" s="86"/>
      <c r="E233" s="54"/>
      <c r="H233" s="52"/>
      <c r="L233" s="52"/>
      <c r="M233" s="52"/>
    </row>
    <row r="234" spans="1:14" ht="15" hidden="1" customHeight="1" outlineLevel="1" x14ac:dyDescent="0.25">
      <c r="A234" s="90" t="s">
        <v>595</v>
      </c>
      <c r="B234" s="91" t="s">
        <v>250</v>
      </c>
      <c r="C234" s="113">
        <v>3003653366.9000001</v>
      </c>
      <c r="D234" s="54"/>
      <c r="E234" s="54"/>
      <c r="H234" s="52"/>
      <c r="L234" s="52"/>
      <c r="M234" s="52"/>
    </row>
    <row r="235" spans="1:14" ht="15" hidden="1" customHeight="1" outlineLevel="1" x14ac:dyDescent="0.25">
      <c r="A235" s="90" t="s">
        <v>596</v>
      </c>
      <c r="B235" s="90"/>
      <c r="C235" s="54"/>
      <c r="D235" s="54"/>
      <c r="E235" s="54"/>
      <c r="H235" s="52"/>
      <c r="L235" s="52"/>
      <c r="M235" s="52"/>
    </row>
    <row r="236" spans="1:14" ht="15" hidden="1" customHeight="1" outlineLevel="1" x14ac:dyDescent="0.25">
      <c r="A236" s="90" t="s">
        <v>597</v>
      </c>
      <c r="B236" s="90"/>
      <c r="C236" s="54"/>
      <c r="D236" s="54"/>
      <c r="E236" s="54"/>
      <c r="H236" s="52"/>
      <c r="L236" s="52"/>
      <c r="M236" s="52"/>
    </row>
    <row r="237" spans="1:14" ht="15" hidden="1" customHeight="1" outlineLevel="1" x14ac:dyDescent="0.25">
      <c r="A237" s="90" t="s">
        <v>598</v>
      </c>
      <c r="B237" s="90"/>
      <c r="D237" s="50"/>
      <c r="E237" s="50"/>
      <c r="F237" s="50"/>
      <c r="G237" s="50"/>
      <c r="H237" s="52"/>
      <c r="K237" s="63"/>
      <c r="L237" s="63"/>
      <c r="M237" s="63"/>
      <c r="N237" s="63"/>
    </row>
    <row r="238" spans="1:14" hidden="1" outlineLevel="1" x14ac:dyDescent="0.25">
      <c r="A238" s="90" t="s">
        <v>599</v>
      </c>
      <c r="B238" s="90"/>
      <c r="C238" s="90"/>
      <c r="D238" s="84"/>
      <c r="E238" s="84"/>
      <c r="F238" s="84"/>
      <c r="G238" s="84"/>
      <c r="H238" s="52"/>
      <c r="I238" s="90"/>
      <c r="J238" s="90"/>
      <c r="K238" s="63"/>
      <c r="L238" s="63"/>
      <c r="M238" s="63"/>
      <c r="N238" s="63"/>
    </row>
    <row r="239" spans="1:14" hidden="1" outlineLevel="1" x14ac:dyDescent="0.25">
      <c r="A239" s="90" t="s">
        <v>600</v>
      </c>
      <c r="B239" s="90"/>
      <c r="C239" s="90"/>
      <c r="D239" s="84"/>
      <c r="E239" s="84"/>
      <c r="F239" s="84"/>
      <c r="G239" s="84"/>
      <c r="H239" s="52"/>
      <c r="I239" s="90"/>
      <c r="J239" s="90"/>
      <c r="K239" s="63"/>
      <c r="L239" s="63"/>
      <c r="M239" s="63"/>
      <c r="N239" s="63"/>
    </row>
    <row r="240" spans="1:14" hidden="1" outlineLevel="1" x14ac:dyDescent="0.25">
      <c r="A240" s="90" t="s">
        <v>601</v>
      </c>
      <c r="B240" s="90"/>
      <c r="C240" s="90"/>
      <c r="D240" s="84"/>
      <c r="E240" s="84"/>
      <c r="F240" s="84"/>
      <c r="G240" s="84"/>
      <c r="H240" s="52"/>
      <c r="I240" s="90"/>
      <c r="J240" s="90"/>
      <c r="K240" s="63"/>
      <c r="L240" s="63"/>
      <c r="M240" s="63"/>
      <c r="N240" s="63"/>
    </row>
    <row r="241" spans="1:14" hidden="1" outlineLevel="1" x14ac:dyDescent="0.25">
      <c r="A241" s="90" t="s">
        <v>602</v>
      </c>
      <c r="B241" s="90"/>
      <c r="C241" s="90"/>
      <c r="D241" s="84"/>
      <c r="E241" s="84"/>
      <c r="F241" s="84"/>
      <c r="G241" s="84"/>
      <c r="H241" s="52"/>
      <c r="I241" s="90"/>
      <c r="J241" s="90"/>
      <c r="K241" s="63"/>
      <c r="L241" s="63"/>
      <c r="M241" s="63"/>
      <c r="N241" s="63"/>
    </row>
    <row r="242" spans="1:14" hidden="1" outlineLevel="1" x14ac:dyDescent="0.25">
      <c r="A242" s="90" t="s">
        <v>603</v>
      </c>
      <c r="B242" s="90"/>
      <c r="C242" s="90"/>
      <c r="D242" s="84"/>
      <c r="E242" s="84"/>
      <c r="F242" s="84"/>
      <c r="G242" s="84"/>
      <c r="H242" s="52"/>
      <c r="I242" s="90"/>
      <c r="J242" s="90"/>
      <c r="K242" s="63"/>
      <c r="L242" s="63"/>
      <c r="M242" s="63"/>
      <c r="N242" s="63"/>
    </row>
    <row r="243" spans="1:14" hidden="1" outlineLevel="1" x14ac:dyDescent="0.25">
      <c r="A243" s="90" t="s">
        <v>604</v>
      </c>
      <c r="B243" s="90"/>
      <c r="C243" s="90"/>
      <c r="D243" s="84"/>
      <c r="E243" s="84"/>
      <c r="F243" s="84"/>
      <c r="G243" s="84"/>
      <c r="H243" s="52"/>
      <c r="I243" s="90"/>
      <c r="J243" s="90"/>
      <c r="K243" s="63"/>
      <c r="L243" s="63"/>
      <c r="M243" s="63"/>
      <c r="N243" s="63"/>
    </row>
    <row r="244" spans="1:14" hidden="1" outlineLevel="1" x14ac:dyDescent="0.25">
      <c r="A244" s="90" t="s">
        <v>605</v>
      </c>
      <c r="B244" s="90"/>
      <c r="C244" s="90"/>
      <c r="D244" s="84"/>
      <c r="E244" s="84"/>
      <c r="F244" s="84"/>
      <c r="G244" s="84"/>
      <c r="H244" s="52"/>
      <c r="I244" s="90"/>
      <c r="J244" s="90"/>
      <c r="K244" s="63"/>
      <c r="L244" s="63"/>
      <c r="M244" s="63"/>
      <c r="N244" s="63"/>
    </row>
    <row r="245" spans="1:14" hidden="1" outlineLevel="1" x14ac:dyDescent="0.25">
      <c r="A245" s="90" t="s">
        <v>606</v>
      </c>
      <c r="B245" s="90"/>
      <c r="C245" s="90"/>
      <c r="D245" s="84"/>
      <c r="E245" s="84"/>
      <c r="F245" s="84"/>
      <c r="G245" s="84"/>
      <c r="H245" s="52"/>
      <c r="I245" s="90"/>
      <c r="J245" s="90"/>
      <c r="K245" s="63"/>
      <c r="L245" s="63"/>
      <c r="M245" s="63"/>
      <c r="N245" s="63"/>
    </row>
    <row r="246" spans="1:14" hidden="1" outlineLevel="1" x14ac:dyDescent="0.25">
      <c r="A246" s="90" t="s">
        <v>607</v>
      </c>
      <c r="B246" s="90"/>
      <c r="C246" s="90"/>
      <c r="D246" s="84"/>
      <c r="E246" s="84"/>
      <c r="F246" s="84"/>
      <c r="G246" s="84"/>
      <c r="H246" s="52"/>
      <c r="I246" s="90"/>
      <c r="J246" s="90"/>
      <c r="K246" s="63"/>
      <c r="L246" s="63"/>
      <c r="M246" s="63"/>
      <c r="N246" s="63"/>
    </row>
    <row r="247" spans="1:14" hidden="1" outlineLevel="1" x14ac:dyDescent="0.25">
      <c r="A247" s="90" t="s">
        <v>608</v>
      </c>
      <c r="B247" s="90"/>
      <c r="C247" s="90"/>
      <c r="D247" s="84"/>
      <c r="E247" s="84"/>
      <c r="F247" s="84"/>
      <c r="G247" s="84"/>
      <c r="H247" s="52"/>
      <c r="I247" s="90"/>
      <c r="J247" s="90"/>
      <c r="K247" s="63"/>
      <c r="L247" s="63"/>
      <c r="M247" s="63"/>
      <c r="N247" s="63"/>
    </row>
    <row r="248" spans="1:14" hidden="1" outlineLevel="1" x14ac:dyDescent="0.25">
      <c r="A248" s="90" t="s">
        <v>609</v>
      </c>
      <c r="B248" s="90"/>
      <c r="C248" s="90"/>
      <c r="D248" s="84"/>
      <c r="E248" s="84"/>
      <c r="F248" s="84"/>
      <c r="G248" s="84"/>
      <c r="H248" s="52"/>
      <c r="I248" s="90"/>
      <c r="J248" s="90"/>
      <c r="K248" s="63"/>
      <c r="L248" s="63"/>
      <c r="M248" s="63"/>
      <c r="N248" s="63"/>
    </row>
    <row r="249" spans="1:14" hidden="1" outlineLevel="1" x14ac:dyDescent="0.25">
      <c r="A249" s="90" t="s">
        <v>610</v>
      </c>
      <c r="B249" s="90"/>
      <c r="C249" s="90"/>
      <c r="D249" s="84"/>
      <c r="E249" s="84"/>
      <c r="F249" s="84"/>
      <c r="G249" s="84"/>
      <c r="H249" s="52"/>
      <c r="I249" s="90"/>
      <c r="J249" s="90"/>
      <c r="K249" s="63"/>
      <c r="L249" s="63"/>
      <c r="M249" s="63"/>
      <c r="N249" s="63"/>
    </row>
    <row r="250" spans="1:14" hidden="1" outlineLevel="1" x14ac:dyDescent="0.25">
      <c r="A250" s="90" t="s">
        <v>611</v>
      </c>
      <c r="B250" s="90"/>
      <c r="C250" s="90"/>
      <c r="D250" s="84"/>
      <c r="E250" s="84"/>
      <c r="F250" s="84"/>
      <c r="G250" s="84"/>
      <c r="H250" s="52"/>
      <c r="I250" s="90"/>
      <c r="J250" s="90"/>
      <c r="K250" s="63"/>
      <c r="L250" s="63"/>
      <c r="M250" s="63"/>
      <c r="N250" s="63"/>
    </row>
    <row r="251" spans="1:14" hidden="1" outlineLevel="1" x14ac:dyDescent="0.25">
      <c r="A251" s="90" t="s">
        <v>612</v>
      </c>
      <c r="B251" s="90"/>
      <c r="C251" s="90"/>
      <c r="D251" s="84"/>
      <c r="E251" s="84"/>
      <c r="F251" s="84"/>
      <c r="G251" s="84"/>
      <c r="H251" s="52"/>
      <c r="I251" s="90"/>
      <c r="J251" s="90"/>
      <c r="K251" s="63"/>
      <c r="L251" s="63"/>
      <c r="M251" s="63"/>
      <c r="N251" s="63"/>
    </row>
    <row r="252" spans="1:14" hidden="1" outlineLevel="1" x14ac:dyDescent="0.25">
      <c r="A252" s="90" t="s">
        <v>613</v>
      </c>
      <c r="B252" s="90"/>
      <c r="C252" s="90"/>
      <c r="D252" s="84"/>
      <c r="E252" s="84"/>
      <c r="F252" s="84"/>
      <c r="G252" s="84"/>
      <c r="H252" s="52"/>
      <c r="I252" s="90"/>
      <c r="J252" s="90"/>
      <c r="K252" s="63"/>
      <c r="L252" s="63"/>
      <c r="M252" s="63"/>
      <c r="N252" s="63"/>
    </row>
    <row r="253" spans="1:14" hidden="1" outlineLevel="1" x14ac:dyDescent="0.25">
      <c r="A253" s="90" t="s">
        <v>614</v>
      </c>
      <c r="B253" s="90"/>
      <c r="C253" s="90"/>
      <c r="D253" s="84"/>
      <c r="E253" s="84"/>
      <c r="F253" s="84"/>
      <c r="G253" s="84"/>
      <c r="H253" s="52"/>
      <c r="I253" s="90"/>
      <c r="J253" s="90"/>
      <c r="K253" s="63"/>
      <c r="L253" s="63"/>
      <c r="M253" s="63"/>
      <c r="N253" s="63"/>
    </row>
    <row r="254" spans="1:14" hidden="1" outlineLevel="1" x14ac:dyDescent="0.25">
      <c r="A254" s="90" t="s">
        <v>615</v>
      </c>
      <c r="B254" s="90"/>
      <c r="C254" s="90"/>
      <c r="D254" s="84"/>
      <c r="E254" s="84"/>
      <c r="F254" s="84"/>
      <c r="G254" s="84"/>
      <c r="H254" s="52"/>
      <c r="I254" s="90"/>
      <c r="J254" s="90"/>
      <c r="K254" s="63"/>
      <c r="L254" s="63"/>
      <c r="M254" s="63"/>
      <c r="N254" s="63"/>
    </row>
    <row r="255" spans="1:14" hidden="1" outlineLevel="1" x14ac:dyDescent="0.25">
      <c r="A255" s="90" t="s">
        <v>616</v>
      </c>
      <c r="B255" s="90"/>
      <c r="C255" s="90"/>
      <c r="D255" s="84"/>
      <c r="E255" s="84"/>
      <c r="F255" s="84"/>
      <c r="G255" s="84"/>
      <c r="H255" s="52"/>
      <c r="I255" s="90"/>
      <c r="J255" s="90"/>
      <c r="K255" s="63"/>
      <c r="L255" s="63"/>
      <c r="M255" s="63"/>
      <c r="N255" s="63"/>
    </row>
    <row r="256" spans="1:14" hidden="1" outlineLevel="1" x14ac:dyDescent="0.25">
      <c r="A256" s="90" t="s">
        <v>617</v>
      </c>
      <c r="B256" s="90"/>
      <c r="C256" s="90"/>
      <c r="D256" s="84"/>
      <c r="E256" s="84"/>
      <c r="F256" s="84"/>
      <c r="G256" s="84"/>
      <c r="H256" s="52"/>
      <c r="I256" s="90"/>
      <c r="J256" s="90"/>
      <c r="K256" s="63"/>
      <c r="L256" s="63"/>
      <c r="M256" s="63"/>
      <c r="N256" s="63"/>
    </row>
    <row r="257" spans="1:14" hidden="1" outlineLevel="1" x14ac:dyDescent="0.25">
      <c r="A257" s="90" t="s">
        <v>618</v>
      </c>
      <c r="B257" s="90"/>
      <c r="C257" s="90"/>
      <c r="D257" s="84"/>
      <c r="E257" s="84"/>
      <c r="F257" s="84"/>
      <c r="G257" s="84"/>
      <c r="H257" s="52"/>
      <c r="I257" s="90"/>
      <c r="J257" s="90"/>
      <c r="K257" s="63"/>
      <c r="L257" s="63"/>
      <c r="M257" s="63"/>
      <c r="N257" s="63"/>
    </row>
    <row r="258" spans="1:14" hidden="1" outlineLevel="1" x14ac:dyDescent="0.25">
      <c r="A258" s="90" t="s">
        <v>619</v>
      </c>
      <c r="B258" s="90"/>
      <c r="C258" s="90"/>
      <c r="D258" s="84"/>
      <c r="E258" s="84"/>
      <c r="F258" s="84"/>
      <c r="G258" s="84"/>
      <c r="H258" s="52"/>
      <c r="I258" s="90"/>
      <c r="J258" s="90"/>
      <c r="K258" s="63"/>
      <c r="L258" s="63"/>
      <c r="M258" s="63"/>
      <c r="N258" s="63"/>
    </row>
    <row r="259" spans="1:14" hidden="1" outlineLevel="1" x14ac:dyDescent="0.25">
      <c r="A259" s="90" t="s">
        <v>620</v>
      </c>
      <c r="B259" s="90"/>
      <c r="C259" s="90"/>
      <c r="D259" s="84"/>
      <c r="E259" s="84"/>
      <c r="F259" s="84"/>
      <c r="G259" s="84"/>
      <c r="H259" s="52"/>
      <c r="I259" s="90"/>
      <c r="J259" s="90"/>
      <c r="K259" s="63"/>
      <c r="L259" s="63"/>
      <c r="M259" s="63"/>
      <c r="N259" s="63"/>
    </row>
    <row r="260" spans="1:14" hidden="1" outlineLevel="1" x14ac:dyDescent="0.25">
      <c r="A260" s="90" t="s">
        <v>621</v>
      </c>
      <c r="B260" s="90"/>
      <c r="C260" s="90"/>
      <c r="D260" s="84"/>
      <c r="E260" s="84"/>
      <c r="F260" s="84"/>
      <c r="G260" s="84"/>
      <c r="H260" s="52"/>
      <c r="I260" s="90"/>
      <c r="J260" s="90"/>
      <c r="K260" s="63"/>
      <c r="L260" s="63"/>
      <c r="M260" s="63"/>
      <c r="N260" s="63"/>
    </row>
    <row r="261" spans="1:14" hidden="1" outlineLevel="1" x14ac:dyDescent="0.25">
      <c r="A261" s="90" t="s">
        <v>622</v>
      </c>
      <c r="B261" s="90"/>
      <c r="C261" s="90"/>
      <c r="D261" s="84"/>
      <c r="E261" s="84"/>
      <c r="F261" s="84"/>
      <c r="G261" s="84"/>
      <c r="H261" s="52"/>
      <c r="I261" s="90"/>
      <c r="J261" s="90"/>
      <c r="K261" s="63"/>
      <c r="L261" s="63"/>
      <c r="M261" s="63"/>
      <c r="N261" s="63"/>
    </row>
    <row r="262" spans="1:14" hidden="1" outlineLevel="1" x14ac:dyDescent="0.25">
      <c r="A262" s="90" t="s">
        <v>623</v>
      </c>
      <c r="B262" s="90"/>
      <c r="C262" s="90"/>
      <c r="D262" s="84"/>
      <c r="E262" s="84"/>
      <c r="F262" s="84"/>
      <c r="G262" s="84"/>
      <c r="H262" s="52"/>
      <c r="I262" s="90"/>
      <c r="J262" s="90"/>
      <c r="K262" s="63"/>
      <c r="L262" s="63"/>
      <c r="M262" s="63"/>
      <c r="N262" s="63"/>
    </row>
    <row r="263" spans="1:14" hidden="1" outlineLevel="1" x14ac:dyDescent="0.25">
      <c r="A263" s="90" t="s">
        <v>624</v>
      </c>
      <c r="B263" s="90"/>
      <c r="C263" s="90"/>
      <c r="D263" s="84"/>
      <c r="E263" s="84"/>
      <c r="F263" s="84"/>
      <c r="G263" s="84"/>
      <c r="H263" s="52"/>
      <c r="I263" s="90"/>
      <c r="J263" s="90"/>
      <c r="K263" s="63"/>
      <c r="L263" s="63"/>
      <c r="M263" s="63"/>
      <c r="N263" s="63"/>
    </row>
    <row r="264" spans="1:14" hidden="1" outlineLevel="1" x14ac:dyDescent="0.25">
      <c r="A264" s="90" t="s">
        <v>625</v>
      </c>
      <c r="B264" s="90"/>
      <c r="C264" s="90"/>
      <c r="D264" s="84"/>
      <c r="E264" s="84"/>
      <c r="F264" s="84"/>
      <c r="G264" s="84"/>
      <c r="H264" s="52"/>
      <c r="I264" s="90"/>
      <c r="J264" s="90"/>
      <c r="K264" s="63"/>
      <c r="L264" s="63"/>
      <c r="M264" s="63"/>
      <c r="N264" s="63"/>
    </row>
    <row r="265" spans="1:14" hidden="1" outlineLevel="1" x14ac:dyDescent="0.25">
      <c r="A265" s="90" t="s">
        <v>626</v>
      </c>
      <c r="B265" s="90"/>
      <c r="C265" s="90"/>
      <c r="D265" s="84"/>
      <c r="E265" s="84"/>
      <c r="F265" s="84"/>
      <c r="G265" s="84"/>
      <c r="H265" s="52"/>
      <c r="I265" s="90"/>
      <c r="J265" s="90"/>
      <c r="K265" s="63"/>
      <c r="L265" s="63"/>
      <c r="M265" s="63"/>
      <c r="N265" s="63"/>
    </row>
    <row r="266" spans="1:14" hidden="1" outlineLevel="1" x14ac:dyDescent="0.25">
      <c r="A266" s="90" t="s">
        <v>627</v>
      </c>
      <c r="B266" s="90"/>
      <c r="C266" s="90"/>
      <c r="D266" s="84"/>
      <c r="E266" s="84"/>
      <c r="F266" s="84"/>
      <c r="G266" s="84"/>
      <c r="H266" s="52"/>
      <c r="I266" s="90"/>
      <c r="J266" s="90"/>
      <c r="K266" s="63"/>
      <c r="L266" s="63"/>
      <c r="M266" s="63"/>
      <c r="N266" s="63"/>
    </row>
    <row r="267" spans="1:14" hidden="1" outlineLevel="1" x14ac:dyDescent="0.25">
      <c r="A267" s="90" t="s">
        <v>628</v>
      </c>
      <c r="B267" s="90"/>
      <c r="C267" s="90"/>
      <c r="D267" s="84"/>
      <c r="E267" s="84"/>
      <c r="F267" s="84"/>
      <c r="G267" s="84"/>
      <c r="H267" s="52"/>
      <c r="I267" s="90"/>
      <c r="J267" s="90"/>
      <c r="K267" s="63"/>
      <c r="L267" s="63"/>
      <c r="M267" s="63"/>
      <c r="N267" s="63"/>
    </row>
    <row r="268" spans="1:14" hidden="1" outlineLevel="1" x14ac:dyDescent="0.25">
      <c r="A268" s="90" t="s">
        <v>629</v>
      </c>
      <c r="B268" s="90"/>
      <c r="C268" s="90"/>
      <c r="D268" s="84"/>
      <c r="E268" s="84"/>
      <c r="F268" s="84"/>
      <c r="G268" s="84"/>
      <c r="H268" s="52"/>
      <c r="I268" s="90"/>
      <c r="J268" s="90"/>
      <c r="K268" s="63"/>
      <c r="L268" s="63"/>
      <c r="M268" s="63"/>
      <c r="N268" s="63"/>
    </row>
    <row r="269" spans="1:14" hidden="1" outlineLevel="1" x14ac:dyDescent="0.25">
      <c r="A269" s="90" t="s">
        <v>630</v>
      </c>
      <c r="B269" s="90"/>
      <c r="C269" s="90"/>
      <c r="D269" s="84"/>
      <c r="E269" s="84"/>
      <c r="F269" s="84"/>
      <c r="G269" s="84"/>
      <c r="H269" s="52"/>
      <c r="I269" s="90"/>
      <c r="J269" s="90"/>
      <c r="K269" s="63"/>
      <c r="L269" s="63"/>
      <c r="M269" s="63"/>
      <c r="N269" s="63"/>
    </row>
    <row r="270" spans="1:14" hidden="1" outlineLevel="1" x14ac:dyDescent="0.25">
      <c r="A270" s="90" t="s">
        <v>631</v>
      </c>
      <c r="B270" s="90"/>
      <c r="C270" s="90"/>
      <c r="D270" s="84"/>
      <c r="E270" s="84"/>
      <c r="F270" s="84"/>
      <c r="G270" s="84"/>
      <c r="H270" s="52"/>
      <c r="I270" s="90"/>
      <c r="J270" s="90"/>
      <c r="K270" s="63"/>
      <c r="L270" s="63"/>
      <c r="M270" s="63"/>
      <c r="N270" s="63"/>
    </row>
    <row r="271" spans="1:14" hidden="1" outlineLevel="1" x14ac:dyDescent="0.25">
      <c r="A271" s="90" t="s">
        <v>632</v>
      </c>
      <c r="B271" s="90"/>
      <c r="C271" s="90"/>
      <c r="D271" s="84"/>
      <c r="E271" s="84"/>
      <c r="F271" s="84"/>
      <c r="G271" s="84"/>
      <c r="H271" s="52"/>
      <c r="I271" s="90"/>
      <c r="J271" s="90"/>
      <c r="K271" s="63"/>
      <c r="L271" s="63"/>
      <c r="M271" s="63"/>
      <c r="N271" s="63"/>
    </row>
    <row r="272" spans="1:14" hidden="1" outlineLevel="1" x14ac:dyDescent="0.25">
      <c r="A272" s="90" t="s">
        <v>633</v>
      </c>
      <c r="B272" s="90"/>
      <c r="C272" s="90"/>
      <c r="D272" s="84"/>
      <c r="E272" s="84"/>
      <c r="F272" s="84"/>
      <c r="G272" s="84"/>
      <c r="H272" s="52"/>
      <c r="I272" s="90"/>
      <c r="J272" s="90"/>
      <c r="K272" s="63"/>
      <c r="L272" s="63"/>
      <c r="M272" s="63"/>
      <c r="N272" s="63"/>
    </row>
    <row r="273" spans="1:14" hidden="1" outlineLevel="1" x14ac:dyDescent="0.25">
      <c r="A273" s="90" t="s">
        <v>634</v>
      </c>
      <c r="B273" s="90"/>
      <c r="C273" s="90"/>
      <c r="D273" s="84"/>
      <c r="E273" s="84"/>
      <c r="F273" s="84"/>
      <c r="G273" s="84"/>
      <c r="H273" s="52"/>
      <c r="I273" s="90"/>
      <c r="J273" s="90"/>
      <c r="K273" s="63"/>
      <c r="L273" s="63"/>
      <c r="M273" s="63"/>
      <c r="N273" s="63"/>
    </row>
    <row r="274" spans="1:14" hidden="1" outlineLevel="1" x14ac:dyDescent="0.25">
      <c r="A274" s="90" t="s">
        <v>635</v>
      </c>
      <c r="B274" s="90"/>
      <c r="C274" s="90"/>
      <c r="D274" s="84"/>
      <c r="E274" s="84"/>
      <c r="F274" s="84"/>
      <c r="G274" s="84"/>
      <c r="H274" s="52"/>
      <c r="I274" s="90"/>
      <c r="J274" s="90"/>
      <c r="K274" s="63"/>
      <c r="L274" s="63"/>
      <c r="M274" s="63"/>
      <c r="N274" s="63"/>
    </row>
    <row r="275" spans="1:14" hidden="1" outlineLevel="1" x14ac:dyDescent="0.25">
      <c r="A275" s="90" t="s">
        <v>636</v>
      </c>
      <c r="B275" s="90"/>
      <c r="C275" s="90"/>
      <c r="D275" s="84"/>
      <c r="E275" s="84"/>
      <c r="F275" s="84"/>
      <c r="G275" s="84"/>
      <c r="H275" s="52"/>
      <c r="I275" s="90"/>
      <c r="J275" s="90"/>
      <c r="K275" s="63"/>
      <c r="L275" s="63"/>
      <c r="M275" s="63"/>
      <c r="N275" s="63"/>
    </row>
    <row r="276" spans="1:14" hidden="1" outlineLevel="1" x14ac:dyDescent="0.25">
      <c r="A276" s="90" t="s">
        <v>637</v>
      </c>
      <c r="B276" s="90"/>
      <c r="C276" s="90"/>
      <c r="D276" s="84"/>
      <c r="E276" s="84"/>
      <c r="F276" s="84"/>
      <c r="G276" s="84"/>
      <c r="H276" s="52"/>
      <c r="I276" s="90"/>
      <c r="J276" s="90"/>
      <c r="K276" s="63"/>
      <c r="L276" s="63"/>
      <c r="M276" s="63"/>
      <c r="N276" s="63"/>
    </row>
    <row r="277" spans="1:14" hidden="1" outlineLevel="1" x14ac:dyDescent="0.25">
      <c r="A277" s="90" t="s">
        <v>638</v>
      </c>
      <c r="B277" s="90"/>
      <c r="C277" s="90"/>
      <c r="D277" s="84"/>
      <c r="E277" s="84"/>
      <c r="F277" s="84"/>
      <c r="G277" s="84"/>
      <c r="H277" s="52"/>
      <c r="I277" s="90"/>
      <c r="J277" s="90"/>
      <c r="K277" s="63"/>
      <c r="L277" s="63"/>
      <c r="M277" s="63"/>
      <c r="N277" s="63"/>
    </row>
    <row r="278" spans="1:14" hidden="1" outlineLevel="1" x14ac:dyDescent="0.25">
      <c r="A278" s="90" t="s">
        <v>639</v>
      </c>
      <c r="B278" s="90"/>
      <c r="C278" s="90"/>
      <c r="D278" s="84"/>
      <c r="E278" s="84"/>
      <c r="F278" s="84"/>
      <c r="G278" s="84"/>
      <c r="H278" s="52"/>
      <c r="I278" s="90"/>
      <c r="J278" s="90"/>
      <c r="K278" s="63"/>
      <c r="L278" s="63"/>
      <c r="M278" s="63"/>
      <c r="N278" s="63"/>
    </row>
    <row r="279" spans="1:14" hidden="1" outlineLevel="1" x14ac:dyDescent="0.25">
      <c r="A279" s="90" t="s">
        <v>640</v>
      </c>
      <c r="B279" s="90"/>
      <c r="C279" s="90"/>
      <c r="D279" s="84"/>
      <c r="E279" s="84"/>
      <c r="F279" s="84"/>
      <c r="G279" s="84"/>
      <c r="H279" s="52"/>
      <c r="I279" s="90"/>
      <c r="J279" s="90"/>
      <c r="K279" s="63"/>
      <c r="L279" s="63"/>
      <c r="M279" s="63"/>
      <c r="N279" s="63"/>
    </row>
    <row r="280" spans="1:14" hidden="1" outlineLevel="1" x14ac:dyDescent="0.25">
      <c r="A280" s="90" t="s">
        <v>641</v>
      </c>
      <c r="B280" s="90"/>
      <c r="C280" s="90"/>
      <c r="D280" s="84"/>
      <c r="E280" s="84"/>
      <c r="F280" s="84"/>
      <c r="G280" s="84"/>
      <c r="H280" s="52"/>
      <c r="I280" s="90"/>
      <c r="J280" s="90"/>
      <c r="K280" s="63"/>
      <c r="L280" s="63"/>
      <c r="M280" s="63"/>
      <c r="N280" s="63"/>
    </row>
    <row r="281" spans="1:14" hidden="1" outlineLevel="1" x14ac:dyDescent="0.25">
      <c r="A281" s="90" t="s">
        <v>642</v>
      </c>
      <c r="B281" s="90"/>
      <c r="C281" s="90"/>
      <c r="D281" s="84"/>
      <c r="E281" s="84"/>
      <c r="F281" s="84"/>
      <c r="G281" s="84"/>
      <c r="H281" s="52"/>
      <c r="I281" s="90"/>
      <c r="J281" s="90"/>
      <c r="K281" s="63"/>
      <c r="L281" s="63"/>
      <c r="M281" s="63"/>
      <c r="N281" s="63"/>
    </row>
    <row r="282" spans="1:14" hidden="1" outlineLevel="1" x14ac:dyDescent="0.25">
      <c r="A282" s="90" t="s">
        <v>643</v>
      </c>
      <c r="B282" s="90"/>
      <c r="C282" s="90"/>
      <c r="D282" s="84"/>
      <c r="E282" s="84"/>
      <c r="F282" s="84"/>
      <c r="G282" s="84"/>
      <c r="H282" s="52"/>
      <c r="I282" s="90"/>
      <c r="J282" s="90"/>
      <c r="K282" s="63"/>
      <c r="L282" s="63"/>
      <c r="M282" s="63"/>
      <c r="N282" s="63"/>
    </row>
    <row r="283" spans="1:14" ht="37.5" collapsed="1" x14ac:dyDescent="0.25">
      <c r="A283" s="18"/>
      <c r="B283" s="18" t="s">
        <v>213</v>
      </c>
      <c r="C283" s="18" t="s">
        <v>74</v>
      </c>
      <c r="D283" s="18" t="s">
        <v>74</v>
      </c>
      <c r="E283" s="18"/>
      <c r="F283" s="15"/>
      <c r="G283" s="16"/>
      <c r="H283" s="52"/>
      <c r="I283" s="61"/>
      <c r="J283" s="61"/>
      <c r="K283" s="61"/>
      <c r="L283" s="61"/>
      <c r="M283" s="3"/>
    </row>
    <row r="284" spans="1:14" ht="18.75" x14ac:dyDescent="0.25">
      <c r="A284" s="95" t="s">
        <v>238</v>
      </c>
      <c r="B284" s="96"/>
      <c r="C284" s="96"/>
      <c r="D284" s="96"/>
      <c r="E284" s="96"/>
      <c r="F284" s="97"/>
      <c r="G284" s="96"/>
      <c r="H284" s="52"/>
      <c r="I284" s="61"/>
      <c r="J284" s="61"/>
      <c r="K284" s="61"/>
      <c r="L284" s="61"/>
      <c r="M284" s="3"/>
    </row>
    <row r="285" spans="1:14" ht="18.75" x14ac:dyDescent="0.25">
      <c r="A285" s="95" t="s">
        <v>239</v>
      </c>
      <c r="B285" s="96"/>
      <c r="C285" s="96"/>
      <c r="D285" s="96"/>
      <c r="E285" s="96"/>
      <c r="F285" s="97"/>
      <c r="G285" s="96"/>
      <c r="H285" s="52"/>
      <c r="I285" s="61"/>
      <c r="J285" s="61"/>
      <c r="K285" s="61"/>
      <c r="L285" s="61"/>
      <c r="M285" s="3"/>
    </row>
    <row r="286" spans="1:14" x14ac:dyDescent="0.25">
      <c r="A286" s="90" t="s">
        <v>644</v>
      </c>
      <c r="B286" s="49" t="s">
        <v>66</v>
      </c>
      <c r="C286" s="62">
        <f>ROW(B38)</f>
        <v>38</v>
      </c>
      <c r="E286" s="57"/>
      <c r="F286" s="57"/>
      <c r="G286" s="57"/>
      <c r="H286" s="52"/>
      <c r="I286" s="49"/>
      <c r="J286" s="62"/>
      <c r="L286" s="57"/>
      <c r="M286" s="57"/>
      <c r="N286" s="57"/>
    </row>
    <row r="287" spans="1:14" x14ac:dyDescent="0.25">
      <c r="A287" s="90" t="s">
        <v>645</v>
      </c>
      <c r="B287" s="49" t="s">
        <v>67</v>
      </c>
      <c r="C287" s="62">
        <f>ROW(B39)</f>
        <v>39</v>
      </c>
      <c r="E287" s="57"/>
      <c r="F287" s="57"/>
      <c r="H287" s="52"/>
      <c r="I287" s="49"/>
      <c r="J287" s="62"/>
      <c r="L287" s="57"/>
      <c r="M287" s="57"/>
    </row>
    <row r="288" spans="1:14" x14ac:dyDescent="0.25">
      <c r="A288" s="90" t="s">
        <v>646</v>
      </c>
      <c r="B288" s="49" t="s">
        <v>46</v>
      </c>
      <c r="C288" s="62" t="str">
        <f>ROW('B1. HTT Mortgage Assets'!B43)&amp; " for Mortgage Assets"</f>
        <v>43 for Mortgage Assets</v>
      </c>
      <c r="D288" s="62"/>
      <c r="E288" s="39"/>
      <c r="F288" s="57"/>
      <c r="G288" s="39"/>
      <c r="H288" s="52"/>
      <c r="I288" s="49"/>
      <c r="J288" s="62"/>
      <c r="K288" s="62"/>
      <c r="L288" s="39"/>
      <c r="M288" s="57"/>
      <c r="N288" s="39"/>
    </row>
    <row r="289" spans="1:14" x14ac:dyDescent="0.25">
      <c r="A289" s="90" t="s">
        <v>647</v>
      </c>
      <c r="B289" s="49" t="s">
        <v>68</v>
      </c>
      <c r="C289" s="62">
        <f>ROW(B52)</f>
        <v>52</v>
      </c>
      <c r="H289" s="52"/>
      <c r="I289" s="49"/>
      <c r="J289" s="62"/>
    </row>
    <row r="290" spans="1:14" ht="30" x14ac:dyDescent="0.25">
      <c r="A290" s="90" t="s">
        <v>648</v>
      </c>
      <c r="B290" s="49" t="s">
        <v>69</v>
      </c>
      <c r="C290" s="83" t="str">
        <f>ROW('B1. HTT Mortgage Assets'!B152)&amp;" for Residential Mortgage Assets"</f>
        <v>152 for Residential Mortgage Assets</v>
      </c>
      <c r="D290" s="62" t="str">
        <f>ROW('B1. HTT Mortgage Assets'!B239 )&amp; " for Commercial Mortgage Assets"</f>
        <v>239 for Commercial Mortgage Assets</v>
      </c>
      <c r="E290" s="39"/>
      <c r="F290" s="62"/>
      <c r="G290" s="39"/>
      <c r="H290" s="52"/>
      <c r="I290" s="49"/>
      <c r="J290" s="63"/>
      <c r="K290" s="62"/>
      <c r="L290" s="39"/>
      <c r="N290" s="39"/>
    </row>
    <row r="291" spans="1:14" ht="30" x14ac:dyDescent="0.25">
      <c r="A291" s="90" t="s">
        <v>649</v>
      </c>
      <c r="B291" s="49" t="s">
        <v>266</v>
      </c>
      <c r="C291" s="62" t="str">
        <f>ROW('B1. HTT Mortgage Assets'!B115)&amp;" for Mortgage Assets"</f>
        <v>115 for Mortgage Assets</v>
      </c>
      <c r="D291" s="62">
        <f>ROW(B161)</f>
        <v>161</v>
      </c>
      <c r="F291" s="62"/>
      <c r="H291" s="52"/>
      <c r="I291" s="49"/>
      <c r="M291" s="39"/>
    </row>
    <row r="292" spans="1:14" x14ac:dyDescent="0.25">
      <c r="A292" s="90" t="s">
        <v>650</v>
      </c>
      <c r="B292" s="49" t="s">
        <v>267</v>
      </c>
      <c r="C292" s="62">
        <f>ROW(B109)</f>
        <v>109</v>
      </c>
      <c r="F292" s="39"/>
      <c r="H292" s="52"/>
      <c r="I292" s="49"/>
      <c r="J292" s="62"/>
      <c r="M292" s="39"/>
    </row>
    <row r="293" spans="1:14" x14ac:dyDescent="0.25">
      <c r="A293" s="90" t="s">
        <v>651</v>
      </c>
      <c r="B293" s="49" t="s">
        <v>70</v>
      </c>
      <c r="C293" s="62">
        <f>ROW(B161)</f>
        <v>161</v>
      </c>
      <c r="E293" s="39"/>
      <c r="F293" s="39"/>
      <c r="H293" s="52"/>
      <c r="I293" s="49"/>
      <c r="J293" s="62"/>
      <c r="L293" s="39"/>
      <c r="M293" s="39"/>
    </row>
    <row r="294" spans="1:14" x14ac:dyDescent="0.25">
      <c r="A294" s="90" t="s">
        <v>652</v>
      </c>
      <c r="B294" s="49" t="s">
        <v>71</v>
      </c>
      <c r="C294" s="62">
        <f>ROW(B135)</f>
        <v>135</v>
      </c>
      <c r="E294" s="39"/>
      <c r="F294" s="39"/>
      <c r="H294" s="52"/>
      <c r="I294" s="49"/>
      <c r="J294" s="62"/>
      <c r="L294" s="39"/>
      <c r="M294" s="39"/>
    </row>
    <row r="295" spans="1:14" ht="30" x14ac:dyDescent="0.25">
      <c r="A295" s="90" t="s">
        <v>653</v>
      </c>
      <c r="B295" s="53" t="s">
        <v>230</v>
      </c>
      <c r="C295" s="62" t="str">
        <f>ROW('C. HTT Harmonised Glossary'!B17)&amp;" for Harmonised Glossary"</f>
        <v>17 for Harmonised Glossary</v>
      </c>
      <c r="E295" s="39"/>
      <c r="H295" s="52"/>
      <c r="J295" s="62"/>
      <c r="L295" s="39"/>
    </row>
    <row r="296" spans="1:14" x14ac:dyDescent="0.25">
      <c r="A296" s="90" t="s">
        <v>654</v>
      </c>
      <c r="B296" s="49" t="s">
        <v>72</v>
      </c>
      <c r="C296" s="62">
        <f>ROW(B65)</f>
        <v>65</v>
      </c>
      <c r="E296" s="39"/>
      <c r="H296" s="52"/>
      <c r="I296" s="49"/>
      <c r="J296" s="62"/>
      <c r="L296" s="39"/>
    </row>
    <row r="297" spans="1:14" x14ac:dyDescent="0.25">
      <c r="A297" s="90" t="s">
        <v>655</v>
      </c>
      <c r="B297" s="49" t="s">
        <v>73</v>
      </c>
      <c r="C297" s="62">
        <f>ROW(B87)</f>
        <v>87</v>
      </c>
      <c r="E297" s="39"/>
      <c r="H297" s="52"/>
      <c r="I297" s="49"/>
      <c r="J297" s="62"/>
      <c r="L297" s="39"/>
    </row>
    <row r="298" spans="1:14" ht="30" x14ac:dyDescent="0.25">
      <c r="A298" s="90" t="s">
        <v>656</v>
      </c>
      <c r="B298" s="49" t="s">
        <v>47</v>
      </c>
      <c r="C298" s="62" t="str">
        <f>ROW('B1. HTT Mortgage Assets'!B145)&amp; " for Mortgage Assets"</f>
        <v>145 for Mortgage Assets</v>
      </c>
      <c r="D298" s="62"/>
      <c r="E298" s="39"/>
      <c r="H298" s="52"/>
      <c r="I298" s="49"/>
      <c r="J298" s="62"/>
      <c r="K298" s="62"/>
      <c r="L298" s="39"/>
    </row>
    <row r="299" spans="1:14" hidden="1" outlineLevel="1" x14ac:dyDescent="0.25">
      <c r="A299" s="90" t="s">
        <v>657</v>
      </c>
      <c r="B299" s="49"/>
      <c r="C299" s="62"/>
      <c r="D299" s="62"/>
      <c r="E299" s="39"/>
      <c r="H299" s="52"/>
      <c r="I299" s="49"/>
      <c r="J299" s="62"/>
      <c r="K299" s="62"/>
      <c r="L299" s="39"/>
    </row>
    <row r="300" spans="1:14" hidden="1" outlineLevel="1" x14ac:dyDescent="0.25">
      <c r="A300" s="90" t="s">
        <v>658</v>
      </c>
      <c r="B300" s="49"/>
      <c r="C300" s="62"/>
      <c r="D300" s="62"/>
      <c r="E300" s="39"/>
      <c r="H300" s="52"/>
      <c r="I300" s="49"/>
      <c r="J300" s="62"/>
      <c r="K300" s="62"/>
      <c r="L300" s="39"/>
    </row>
    <row r="301" spans="1:14" hidden="1" outlineLevel="1" x14ac:dyDescent="0.25">
      <c r="A301" s="90" t="s">
        <v>659</v>
      </c>
      <c r="B301" s="49"/>
      <c r="C301" s="62"/>
      <c r="D301" s="62"/>
      <c r="E301" s="39"/>
      <c r="H301" s="52"/>
      <c r="I301" s="49"/>
      <c r="J301" s="62"/>
      <c r="K301" s="62"/>
      <c r="L301" s="39"/>
    </row>
    <row r="302" spans="1:14" hidden="1" outlineLevel="1" x14ac:dyDescent="0.25">
      <c r="A302" s="90" t="s">
        <v>660</v>
      </c>
      <c r="B302" s="49"/>
      <c r="C302" s="62"/>
      <c r="D302" s="62"/>
      <c r="E302" s="39"/>
      <c r="H302" s="52"/>
      <c r="I302" s="49"/>
      <c r="J302" s="62"/>
      <c r="K302" s="62"/>
      <c r="L302" s="39"/>
    </row>
    <row r="303" spans="1:14" hidden="1" outlineLevel="1" x14ac:dyDescent="0.25">
      <c r="A303" s="90" t="s">
        <v>661</v>
      </c>
      <c r="B303" s="49"/>
      <c r="C303" s="62"/>
      <c r="D303" s="62"/>
      <c r="E303" s="39"/>
      <c r="H303" s="52"/>
      <c r="I303" s="49"/>
      <c r="J303" s="62"/>
      <c r="K303" s="62"/>
      <c r="L303" s="39"/>
    </row>
    <row r="304" spans="1:14" hidden="1" outlineLevel="1" x14ac:dyDescent="0.25">
      <c r="A304" s="90" t="s">
        <v>662</v>
      </c>
      <c r="B304" s="49"/>
      <c r="C304" s="62"/>
      <c r="D304" s="62"/>
      <c r="E304" s="39"/>
      <c r="H304" s="52"/>
      <c r="I304" s="49"/>
      <c r="J304" s="62"/>
      <c r="K304" s="62"/>
      <c r="L304" s="39"/>
    </row>
    <row r="305" spans="1:13" hidden="1" outlineLevel="1" x14ac:dyDescent="0.25">
      <c r="A305" s="90" t="s">
        <v>663</v>
      </c>
      <c r="B305" s="49"/>
      <c r="C305" s="62"/>
      <c r="D305" s="62"/>
      <c r="E305" s="39"/>
      <c r="H305" s="52"/>
      <c r="I305" s="49"/>
      <c r="J305" s="62"/>
      <c r="K305" s="62"/>
      <c r="L305" s="39"/>
    </row>
    <row r="306" spans="1:13" hidden="1" outlineLevel="1" x14ac:dyDescent="0.25">
      <c r="A306" s="90" t="s">
        <v>664</v>
      </c>
      <c r="B306" s="49"/>
      <c r="C306" s="62"/>
      <c r="D306" s="62"/>
      <c r="E306" s="39"/>
      <c r="H306" s="52"/>
      <c r="I306" s="49"/>
      <c r="J306" s="62"/>
      <c r="K306" s="62"/>
      <c r="L306" s="39"/>
    </row>
    <row r="307" spans="1:13" hidden="1" outlineLevel="1" x14ac:dyDescent="0.25">
      <c r="A307" s="90" t="s">
        <v>665</v>
      </c>
      <c r="B307" s="49"/>
      <c r="C307" s="62"/>
      <c r="D307" s="62"/>
      <c r="E307" s="39"/>
      <c r="H307" s="52"/>
      <c r="I307" s="49"/>
      <c r="J307" s="62"/>
      <c r="K307" s="62"/>
      <c r="L307" s="39"/>
    </row>
    <row r="308" spans="1:13" hidden="1" outlineLevel="1" x14ac:dyDescent="0.25">
      <c r="A308" s="90" t="s">
        <v>666</v>
      </c>
      <c r="H308" s="52"/>
    </row>
    <row r="309" spans="1:13" ht="37.5" collapsed="1" x14ac:dyDescent="0.25">
      <c r="A309" s="15"/>
      <c r="B309" s="18" t="s">
        <v>215</v>
      </c>
      <c r="C309" s="15"/>
      <c r="D309" s="15"/>
      <c r="E309" s="15"/>
      <c r="F309" s="15"/>
      <c r="G309" s="16"/>
      <c r="H309" s="52"/>
      <c r="I309" s="61"/>
      <c r="J309" s="3"/>
      <c r="K309" s="3"/>
      <c r="L309" s="3"/>
      <c r="M309" s="3"/>
    </row>
    <row r="310" spans="1:13" x14ac:dyDescent="0.25">
      <c r="A310" s="90" t="s">
        <v>667</v>
      </c>
      <c r="B310" s="71" t="s">
        <v>130</v>
      </c>
      <c r="C310" s="62">
        <f>ROW(B171)</f>
        <v>171</v>
      </c>
      <c r="H310" s="52"/>
      <c r="I310" s="71"/>
      <c r="J310" s="62"/>
    </row>
    <row r="311" spans="1:13" hidden="1" outlineLevel="1" x14ac:dyDescent="0.25">
      <c r="A311" s="90" t="s">
        <v>668</v>
      </c>
      <c r="B311" s="71"/>
      <c r="C311" s="62"/>
      <c r="H311" s="52"/>
      <c r="I311" s="71"/>
      <c r="J311" s="62"/>
    </row>
    <row r="312" spans="1:13" hidden="1" outlineLevel="1" x14ac:dyDescent="0.25">
      <c r="A312" s="90" t="s">
        <v>669</v>
      </c>
      <c r="B312" s="71"/>
      <c r="C312" s="62"/>
      <c r="H312" s="52"/>
      <c r="I312" s="71"/>
      <c r="J312" s="62"/>
    </row>
    <row r="313" spans="1:13" hidden="1" outlineLevel="1" x14ac:dyDescent="0.25">
      <c r="A313" s="90" t="s">
        <v>670</v>
      </c>
      <c r="B313" s="71"/>
      <c r="C313" s="62"/>
      <c r="H313" s="52"/>
      <c r="I313" s="71"/>
      <c r="J313" s="62"/>
    </row>
    <row r="314" spans="1:13" hidden="1" outlineLevel="1" x14ac:dyDescent="0.25">
      <c r="A314" s="90" t="s">
        <v>671</v>
      </c>
      <c r="B314" s="71"/>
      <c r="C314" s="62"/>
      <c r="H314" s="52"/>
      <c r="I314" s="71"/>
      <c r="J314" s="62"/>
    </row>
    <row r="315" spans="1:13" hidden="1" outlineLevel="1" x14ac:dyDescent="0.25">
      <c r="A315" s="90" t="s">
        <v>672</v>
      </c>
      <c r="B315" s="71"/>
      <c r="C315" s="62"/>
      <c r="H315" s="52"/>
      <c r="I315" s="71"/>
      <c r="J315" s="62"/>
    </row>
    <row r="316" spans="1:13" hidden="1" outlineLevel="1" x14ac:dyDescent="0.25">
      <c r="A316" s="90" t="s">
        <v>673</v>
      </c>
      <c r="B316" s="71"/>
      <c r="C316" s="62"/>
      <c r="H316" s="52"/>
      <c r="I316" s="71"/>
      <c r="J316" s="62"/>
    </row>
    <row r="317" spans="1:13" ht="18.75" collapsed="1" x14ac:dyDescent="0.25">
      <c r="A317" s="15"/>
      <c r="B317" s="18" t="s">
        <v>216</v>
      </c>
      <c r="C317" s="15"/>
      <c r="D317" s="15"/>
      <c r="E317" s="15"/>
      <c r="F317" s="15"/>
      <c r="G317" s="16"/>
      <c r="H317" s="52"/>
      <c r="I317" s="61"/>
      <c r="J317" s="3"/>
      <c r="K317" s="3"/>
      <c r="L317" s="3"/>
      <c r="M317" s="3"/>
    </row>
    <row r="318" spans="1:13" ht="15" hidden="1" customHeight="1" outlineLevel="1" x14ac:dyDescent="0.25">
      <c r="A318" s="58"/>
      <c r="B318" s="60" t="s">
        <v>696</v>
      </c>
      <c r="C318" s="58"/>
      <c r="D318" s="58"/>
      <c r="E318" s="46"/>
      <c r="F318" s="59"/>
      <c r="G318" s="59"/>
      <c r="H318" s="52"/>
      <c r="L318" s="52"/>
      <c r="M318" s="52"/>
    </row>
    <row r="319" spans="1:13" hidden="1" outlineLevel="1" x14ac:dyDescent="0.25">
      <c r="A319" s="90" t="s">
        <v>674</v>
      </c>
      <c r="B319" s="91" t="s">
        <v>253</v>
      </c>
      <c r="C319" s="91"/>
      <c r="H319" s="52"/>
    </row>
    <row r="320" spans="1:13" hidden="1" outlineLevel="1" x14ac:dyDescent="0.25">
      <c r="A320" s="90" t="s">
        <v>675</v>
      </c>
      <c r="B320" s="91" t="s">
        <v>254</v>
      </c>
      <c r="C320" s="91"/>
      <c r="H320" s="52"/>
    </row>
    <row r="321" spans="1:8" hidden="1" outlineLevel="1" x14ac:dyDescent="0.25">
      <c r="A321" s="90" t="s">
        <v>676</v>
      </c>
      <c r="B321" s="49" t="s">
        <v>193</v>
      </c>
      <c r="C321" s="91"/>
      <c r="H321" s="52"/>
    </row>
    <row r="322" spans="1:8" hidden="1" outlineLevel="1" x14ac:dyDescent="0.25">
      <c r="A322" s="90" t="s">
        <v>677</v>
      </c>
      <c r="B322" s="49" t="s">
        <v>194</v>
      </c>
      <c r="H322" s="52"/>
    </row>
    <row r="323" spans="1:8" hidden="1" outlineLevel="1" x14ac:dyDescent="0.25">
      <c r="A323" s="90" t="s">
        <v>678</v>
      </c>
      <c r="B323" s="49" t="s">
        <v>199</v>
      </c>
      <c r="H323" s="52"/>
    </row>
    <row r="324" spans="1:8" hidden="1" outlineLevel="1" x14ac:dyDescent="0.25">
      <c r="A324" s="90" t="s">
        <v>679</v>
      </c>
      <c r="B324" s="49" t="s">
        <v>195</v>
      </c>
      <c r="H324" s="52"/>
    </row>
    <row r="325" spans="1:8" hidden="1" outlineLevel="1" x14ac:dyDescent="0.25">
      <c r="A325" s="90" t="s">
        <v>680</v>
      </c>
      <c r="B325" s="49" t="s">
        <v>196</v>
      </c>
      <c r="H325" s="52"/>
    </row>
    <row r="326" spans="1:8" hidden="1" outlineLevel="1" x14ac:dyDescent="0.25">
      <c r="A326" s="90" t="s">
        <v>681</v>
      </c>
      <c r="B326" s="49" t="s">
        <v>197</v>
      </c>
      <c r="H326" s="52"/>
    </row>
    <row r="327" spans="1:8" hidden="1" outlineLevel="1" x14ac:dyDescent="0.25">
      <c r="A327" s="90" t="s">
        <v>682</v>
      </c>
      <c r="B327" s="49" t="s">
        <v>198</v>
      </c>
      <c r="H327" s="52"/>
    </row>
    <row r="328" spans="1:8" collapsed="1" x14ac:dyDescent="0.25">
      <c r="H328" s="52"/>
    </row>
    <row r="329" spans="1:8" x14ac:dyDescent="0.25">
      <c r="H329" s="52"/>
    </row>
    <row r="330" spans="1:8" x14ac:dyDescent="0.25">
      <c r="H330" s="52"/>
    </row>
    <row r="331" spans="1:8" x14ac:dyDescent="0.25">
      <c r="H331" s="52"/>
    </row>
    <row r="332" spans="1:8" x14ac:dyDescent="0.25">
      <c r="H332" s="52"/>
    </row>
    <row r="333" spans="1:8" x14ac:dyDescent="0.25">
      <c r="H333" s="52"/>
    </row>
    <row r="334" spans="1:8" x14ac:dyDescent="0.25">
      <c r="H334" s="52"/>
    </row>
    <row r="335" spans="1:8" x14ac:dyDescent="0.25">
      <c r="H335" s="52"/>
    </row>
    <row r="336" spans="1:8" x14ac:dyDescent="0.25">
      <c r="H336" s="52"/>
    </row>
    <row r="337" spans="8:8" x14ac:dyDescent="0.25">
      <c r="H337" s="52"/>
    </row>
    <row r="338" spans="8:8" x14ac:dyDescent="0.25">
      <c r="H338" s="52"/>
    </row>
    <row r="339" spans="8:8" x14ac:dyDescent="0.25">
      <c r="H339" s="52"/>
    </row>
    <row r="340" spans="8:8" x14ac:dyDescent="0.25">
      <c r="H340" s="52"/>
    </row>
    <row r="341" spans="8:8" x14ac:dyDescent="0.25">
      <c r="H341" s="52"/>
    </row>
    <row r="342" spans="8:8" x14ac:dyDescent="0.25">
      <c r="H342" s="52"/>
    </row>
    <row r="343" spans="8:8" x14ac:dyDescent="0.25">
      <c r="H343" s="52"/>
    </row>
    <row r="344" spans="8:8" x14ac:dyDescent="0.25">
      <c r="H344" s="52"/>
    </row>
    <row r="345" spans="8:8" x14ac:dyDescent="0.25">
      <c r="H345" s="52"/>
    </row>
    <row r="346" spans="8:8" x14ac:dyDescent="0.25">
      <c r="H346" s="52"/>
    </row>
    <row r="347" spans="8:8" x14ac:dyDescent="0.25">
      <c r="H347" s="52"/>
    </row>
    <row r="348" spans="8:8" x14ac:dyDescent="0.25">
      <c r="H348" s="52"/>
    </row>
    <row r="349" spans="8:8" x14ac:dyDescent="0.25">
      <c r="H349" s="52"/>
    </row>
    <row r="350" spans="8:8" x14ac:dyDescent="0.25">
      <c r="H350" s="52"/>
    </row>
    <row r="351" spans="8:8" x14ac:dyDescent="0.25">
      <c r="H351" s="52"/>
    </row>
    <row r="352" spans="8:8" x14ac:dyDescent="0.25">
      <c r="H352" s="52"/>
    </row>
    <row r="353" spans="8:8" x14ac:dyDescent="0.25">
      <c r="H353" s="52"/>
    </row>
    <row r="354" spans="8:8" x14ac:dyDescent="0.25">
      <c r="H354" s="52"/>
    </row>
    <row r="355" spans="8:8" x14ac:dyDescent="0.25">
      <c r="H355" s="52"/>
    </row>
    <row r="356" spans="8:8" x14ac:dyDescent="0.25">
      <c r="H356" s="52"/>
    </row>
    <row r="357" spans="8:8" x14ac:dyDescent="0.25">
      <c r="H357" s="52"/>
    </row>
    <row r="358" spans="8:8" x14ac:dyDescent="0.25">
      <c r="H358" s="52"/>
    </row>
    <row r="359" spans="8:8" x14ac:dyDescent="0.25">
      <c r="H359" s="52"/>
    </row>
    <row r="360" spans="8:8" x14ac:dyDescent="0.25">
      <c r="H360" s="52"/>
    </row>
    <row r="361" spans="8:8" x14ac:dyDescent="0.25">
      <c r="H361" s="52"/>
    </row>
    <row r="362" spans="8:8" x14ac:dyDescent="0.25">
      <c r="H362" s="52"/>
    </row>
    <row r="363" spans="8:8" x14ac:dyDescent="0.25">
      <c r="H363" s="52"/>
    </row>
    <row r="364" spans="8:8" x14ac:dyDescent="0.25">
      <c r="H364" s="52"/>
    </row>
    <row r="365" spans="8:8" x14ac:dyDescent="0.25">
      <c r="H365" s="52"/>
    </row>
    <row r="366" spans="8:8" x14ac:dyDescent="0.25">
      <c r="H366" s="52"/>
    </row>
    <row r="367" spans="8:8" x14ac:dyDescent="0.25">
      <c r="H367" s="52"/>
    </row>
    <row r="368" spans="8:8" x14ac:dyDescent="0.25">
      <c r="H368" s="52"/>
    </row>
    <row r="369" spans="8:8" x14ac:dyDescent="0.25">
      <c r="H369" s="52"/>
    </row>
    <row r="370" spans="8:8" x14ac:dyDescent="0.25">
      <c r="H370" s="52"/>
    </row>
    <row r="371" spans="8:8" x14ac:dyDescent="0.25">
      <c r="H371" s="52"/>
    </row>
    <row r="372" spans="8:8" x14ac:dyDescent="0.25">
      <c r="H372" s="52"/>
    </row>
    <row r="373" spans="8:8" x14ac:dyDescent="0.25">
      <c r="H373" s="52"/>
    </row>
    <row r="374" spans="8:8" x14ac:dyDescent="0.25">
      <c r="H374" s="52"/>
    </row>
    <row r="375" spans="8:8" x14ac:dyDescent="0.25">
      <c r="H375" s="52"/>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6" location="'A. HTT General'!A38" display="'A. HTT General'!A38"/>
    <hyperlink ref="C287" location="'A. HTT General'!A39" display="'A. HTT General'!A39"/>
    <hyperlink ref="C288" location="'B1. HTT Mortgage Assets'!B43" display="'B1. HTT Mortgage Assets'!B43"/>
    <hyperlink ref="C289" location="'A. HTT General'!A52" display="'A. HTT General'!A52"/>
    <hyperlink ref="C293" location="'A. HTT General'!B161" display="'A. HTT General'!B161"/>
    <hyperlink ref="C294" location="'A. HTT General'!B135" display="'A. HTT General'!B135"/>
    <hyperlink ref="C295" location="'C. HTT Harmonised Glossary'!B17" display="'C. HTT Harmonised Glossary'!B17"/>
    <hyperlink ref="C296" location="'A. HTT General'!B65" display="'A. HTT General'!B65"/>
    <hyperlink ref="C297" location="'A. HTT General'!B87" display="'A. HTT General'!B87"/>
    <hyperlink ref="C298" location="'B1. HTT Mortgage Assets'!B160" display="'B1. HTT Mortgage Assets'!B160"/>
    <hyperlink ref="C310" location="'A. HTT General'!B171" display="'A. HTT General'!B171"/>
    <hyperlink ref="B10" location="'A. HTT General'!B309" display="5. References to Capital Requirements Regulation (CRR) 129(1)"/>
    <hyperlink ref="C292" location="'A. HTT General'!B109" display="'A. HTT General'!B109"/>
    <hyperlink ref="D290" location="'B1. HTT Mortgage Assets'!B266" display="'B1. HTT Mortgage Assets'!B266"/>
    <hyperlink ref="C290" location="'B1. HTT Mortgage Assets'!B166" display="'B1. HTT Mortgage Assets'!B166"/>
    <hyperlink ref="C291" location="'B1. HTT Mortgage Assets'!B130" display="'B1. HTT Mortgage Assets'!B130"/>
    <hyperlink ref="D291" location="'A. HTT General'!B227" display="'A. HTT General'!B227"/>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0" location="'A. HTT General'!B309" display="5. References to Capital Requirements Regulation (CRR) 129(1)"/>
    <hyperlink ref="B11" location="'A. HTT General'!B317" display="6. Other relevant information"/>
    <hyperlink ref="B27" r:id="rId1" display="UCITS Compliance"/>
    <hyperlink ref="B28" r:id="rId2" display="CRR Compliance"/>
    <hyperlink ref="B29" r:id="rId3"/>
    <hyperlink ref="C227" r:id="rId4" location="tab-002"/>
  </hyperlinks>
  <pageMargins left="0.70866141732283472" right="0.70866141732283472" top="0.74803149606299213" bottom="0.74803149606299213" header="0.31496062992125984" footer="0.31496062992125984"/>
  <pageSetup paperSize="9" scale="50" fitToHeight="0" orientation="landscape" r:id="rId5"/>
  <headerFooter>
    <oddHeader>&amp;R&amp;G</oddHeader>
  </headerFooter>
  <legacyDrawingHF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E36E00"/>
  </sheetPr>
  <dimension ref="A1:G327"/>
  <sheetViews>
    <sheetView zoomScaleNormal="100" zoomScaleSheetLayoutView="80" zoomScalePageLayoutView="80" workbookViewId="0">
      <selection activeCell="E155" sqref="E155"/>
    </sheetView>
  </sheetViews>
  <sheetFormatPr defaultColWidth="8.85546875" defaultRowHeight="15" outlineLevelRow="1" x14ac:dyDescent="0.25"/>
  <cols>
    <col min="1" max="1" width="13.85546875" style="90" customWidth="1" collapsed="1"/>
    <col min="2" max="2" width="60.85546875" style="90" customWidth="1" collapsed="1"/>
    <col min="3" max="4" width="23" style="90" customWidth="1" collapsed="1"/>
    <col min="5" max="5" width="11" style="90" customWidth="1" collapsed="1"/>
    <col min="6" max="6" width="22" style="90" customWidth="1" collapsed="1"/>
    <col min="7" max="7" width="22" style="52" customWidth="1" collapsed="1"/>
    <col min="8" max="16384" width="8.85546875" style="51" collapsed="1"/>
  </cols>
  <sheetData>
    <row r="1" spans="1:7" ht="31.5" customHeight="1" x14ac:dyDescent="0.25">
      <c r="A1" s="19" t="s">
        <v>258</v>
      </c>
      <c r="B1" s="19"/>
      <c r="C1" s="52"/>
      <c r="D1" s="52"/>
      <c r="E1" s="52"/>
      <c r="F1" s="52"/>
    </row>
    <row r="2" spans="1:7" ht="15.75" customHeight="1" thickBot="1" x14ac:dyDescent="0.3">
      <c r="A2" s="52"/>
      <c r="B2" s="52"/>
      <c r="C2" s="52"/>
      <c r="D2" s="52"/>
      <c r="E2" s="52"/>
      <c r="F2" s="52"/>
    </row>
    <row r="3" spans="1:7" ht="19.5" customHeight="1" thickBot="1" x14ac:dyDescent="0.3">
      <c r="A3" s="44"/>
      <c r="B3" s="43" t="s">
        <v>128</v>
      </c>
      <c r="C3" s="93" t="s">
        <v>1062</v>
      </c>
      <c r="D3" s="44"/>
      <c r="E3" s="44"/>
      <c r="F3" s="44"/>
      <c r="G3" s="44"/>
    </row>
    <row r="4" spans="1:7" ht="15.75" thickBot="1" x14ac:dyDescent="0.3"/>
    <row r="5" spans="1:7" ht="18.75" customHeight="1" x14ac:dyDescent="0.25">
      <c r="A5" s="61"/>
      <c r="B5" s="79" t="s">
        <v>259</v>
      </c>
      <c r="C5" s="61"/>
      <c r="E5" s="3"/>
      <c r="F5" s="3"/>
    </row>
    <row r="6" spans="1:7" ht="15" customHeight="1" x14ac:dyDescent="0.25">
      <c r="B6" s="74" t="s">
        <v>224</v>
      </c>
    </row>
    <row r="7" spans="1:7" ht="15" customHeight="1" x14ac:dyDescent="0.25">
      <c r="B7" s="75" t="s">
        <v>225</v>
      </c>
    </row>
    <row r="8" spans="1:7" ht="15.75" customHeight="1" thickBot="1" x14ac:dyDescent="0.3">
      <c r="B8" s="80" t="s">
        <v>226</v>
      </c>
    </row>
    <row r="9" spans="1:7" ht="15" customHeight="1" x14ac:dyDescent="0.25">
      <c r="B9" s="66"/>
    </row>
    <row r="10" spans="1:7" ht="37.5" customHeight="1" x14ac:dyDescent="0.25">
      <c r="A10" s="18" t="s">
        <v>223</v>
      </c>
      <c r="B10" s="18" t="s">
        <v>224</v>
      </c>
      <c r="C10" s="15"/>
      <c r="D10" s="15"/>
      <c r="E10" s="15"/>
      <c r="F10" s="15"/>
      <c r="G10" s="16"/>
    </row>
    <row r="11" spans="1:7" ht="15" customHeight="1" x14ac:dyDescent="0.25">
      <c r="A11" s="58"/>
      <c r="B11" s="60" t="s">
        <v>971</v>
      </c>
      <c r="C11" s="58" t="s">
        <v>82</v>
      </c>
      <c r="D11" s="58"/>
      <c r="E11" s="58"/>
      <c r="F11" s="59" t="s">
        <v>147</v>
      </c>
      <c r="G11" s="59"/>
    </row>
    <row r="12" spans="1:7" x14ac:dyDescent="0.25">
      <c r="A12" s="90" t="s">
        <v>697</v>
      </c>
      <c r="B12" s="90" t="s">
        <v>3</v>
      </c>
      <c r="C12" s="113">
        <v>4886974650.5699997</v>
      </c>
      <c r="D12" s="113"/>
      <c r="F12" s="47">
        <f>IF($C$15=0,"",IF(C12="[for completion]","",C12/$C$15))</f>
        <v>0.5396000768012178</v>
      </c>
      <c r="G12" s="47"/>
    </row>
    <row r="13" spans="1:7" x14ac:dyDescent="0.25">
      <c r="A13" s="90" t="s">
        <v>698</v>
      </c>
      <c r="B13" s="90" t="s">
        <v>4</v>
      </c>
      <c r="C13" s="113">
        <v>4169685755.3000002</v>
      </c>
      <c r="D13" s="113"/>
      <c r="F13" s="47">
        <f>IF($C$15=0,"",IF(C13="[for completion]","",C13/$C$15))</f>
        <v>0.46039992319878231</v>
      </c>
      <c r="G13" s="47"/>
    </row>
    <row r="14" spans="1:7" x14ac:dyDescent="0.25">
      <c r="A14" s="90" t="s">
        <v>699</v>
      </c>
      <c r="B14" s="90" t="s">
        <v>2</v>
      </c>
      <c r="C14" s="113">
        <v>0</v>
      </c>
      <c r="D14" s="113"/>
      <c r="F14" s="47">
        <f>IF($C$15=0,"",IF(C14="[for completion]","",C14/$C$15))</f>
        <v>0</v>
      </c>
      <c r="G14" s="47"/>
    </row>
    <row r="15" spans="1:7" ht="15" customHeight="1" x14ac:dyDescent="0.25">
      <c r="A15" s="90" t="s">
        <v>700</v>
      </c>
      <c r="B15" s="36" t="s">
        <v>1</v>
      </c>
      <c r="C15" s="113">
        <f>SUM(C12:C14)</f>
        <v>9056660405.8699989</v>
      </c>
      <c r="D15" s="113"/>
      <c r="F15" s="47">
        <f>SUM(F12:F14)</f>
        <v>1</v>
      </c>
      <c r="G15" s="47"/>
    </row>
    <row r="16" spans="1:7" ht="15" hidden="1" customHeight="1" outlineLevel="1" x14ac:dyDescent="0.25">
      <c r="A16" s="90" t="s">
        <v>701</v>
      </c>
      <c r="B16" s="67" t="s">
        <v>161</v>
      </c>
      <c r="C16" s="113"/>
      <c r="D16" s="113"/>
      <c r="F16" s="47" t="str">
        <f t="shared" ref="F16:F26" si="0">IF($C$15=0,"",IF(C16="","",C16/$C$15))</f>
        <v/>
      </c>
      <c r="G16" s="47"/>
    </row>
    <row r="17" spans="1:7" ht="15" hidden="1" customHeight="1" outlineLevel="1" x14ac:dyDescent="0.25">
      <c r="A17" s="90" t="s">
        <v>702</v>
      </c>
      <c r="B17" s="67" t="s">
        <v>158</v>
      </c>
      <c r="C17" s="113"/>
      <c r="D17" s="113"/>
      <c r="F17" s="47" t="str">
        <f t="shared" si="0"/>
        <v/>
      </c>
      <c r="G17" s="47"/>
    </row>
    <row r="18" spans="1:7" ht="15" hidden="1" customHeight="1" outlineLevel="1" x14ac:dyDescent="0.25">
      <c r="A18" s="90" t="s">
        <v>703</v>
      </c>
      <c r="B18" s="67" t="s">
        <v>154</v>
      </c>
      <c r="C18" s="113"/>
      <c r="D18" s="113"/>
      <c r="F18" s="47" t="str">
        <f t="shared" si="0"/>
        <v/>
      </c>
      <c r="G18" s="47"/>
    </row>
    <row r="19" spans="1:7" ht="15" hidden="1" customHeight="1" outlineLevel="1" x14ac:dyDescent="0.25">
      <c r="A19" s="90" t="s">
        <v>704</v>
      </c>
      <c r="B19" s="67" t="s">
        <v>154</v>
      </c>
      <c r="C19" s="113"/>
      <c r="D19" s="113"/>
      <c r="F19" s="47" t="str">
        <f t="shared" si="0"/>
        <v/>
      </c>
      <c r="G19" s="47"/>
    </row>
    <row r="20" spans="1:7" ht="15" hidden="1" customHeight="1" outlineLevel="1" x14ac:dyDescent="0.25">
      <c r="A20" s="90" t="s">
        <v>705</v>
      </c>
      <c r="B20" s="67" t="s">
        <v>154</v>
      </c>
      <c r="C20" s="113"/>
      <c r="D20" s="113"/>
      <c r="F20" s="47" t="str">
        <f t="shared" si="0"/>
        <v/>
      </c>
      <c r="G20" s="47"/>
    </row>
    <row r="21" spans="1:7" ht="15" hidden="1" customHeight="1" outlineLevel="1" x14ac:dyDescent="0.25">
      <c r="A21" s="90" t="s">
        <v>706</v>
      </c>
      <c r="B21" s="67" t="s">
        <v>154</v>
      </c>
      <c r="C21" s="113"/>
      <c r="D21" s="113"/>
      <c r="F21" s="47" t="str">
        <f t="shared" si="0"/>
        <v/>
      </c>
      <c r="G21" s="47"/>
    </row>
    <row r="22" spans="1:7" ht="15" hidden="1" customHeight="1" outlineLevel="1" x14ac:dyDescent="0.25">
      <c r="A22" s="90" t="s">
        <v>707</v>
      </c>
      <c r="B22" s="67" t="s">
        <v>154</v>
      </c>
      <c r="C22" s="113"/>
      <c r="D22" s="113"/>
      <c r="F22" s="47" t="str">
        <f t="shared" si="0"/>
        <v/>
      </c>
      <c r="G22" s="47"/>
    </row>
    <row r="23" spans="1:7" ht="15" hidden="1" customHeight="1" outlineLevel="1" x14ac:dyDescent="0.25">
      <c r="A23" s="90" t="s">
        <v>708</v>
      </c>
      <c r="B23" s="67" t="s">
        <v>154</v>
      </c>
      <c r="C23" s="113"/>
      <c r="D23" s="113"/>
      <c r="F23" s="47" t="str">
        <f t="shared" si="0"/>
        <v/>
      </c>
      <c r="G23" s="47"/>
    </row>
    <row r="24" spans="1:7" ht="15" hidden="1" customHeight="1" outlineLevel="1" x14ac:dyDescent="0.25">
      <c r="A24" s="90" t="s">
        <v>709</v>
      </c>
      <c r="B24" s="67" t="s">
        <v>154</v>
      </c>
      <c r="C24" s="113"/>
      <c r="D24" s="113"/>
      <c r="F24" s="47" t="str">
        <f t="shared" si="0"/>
        <v/>
      </c>
      <c r="G24" s="47"/>
    </row>
    <row r="25" spans="1:7" ht="15" hidden="1" customHeight="1" outlineLevel="1" x14ac:dyDescent="0.25">
      <c r="A25" s="90" t="s">
        <v>710</v>
      </c>
      <c r="B25" s="67" t="s">
        <v>154</v>
      </c>
      <c r="C25" s="113"/>
      <c r="D25" s="113"/>
      <c r="F25" s="47" t="str">
        <f t="shared" si="0"/>
        <v/>
      </c>
      <c r="G25" s="47"/>
    </row>
    <row r="26" spans="1:7" ht="15" hidden="1" customHeight="1" outlineLevel="1" x14ac:dyDescent="0.25">
      <c r="A26" s="90" t="s">
        <v>711</v>
      </c>
      <c r="B26" s="67" t="s">
        <v>154</v>
      </c>
      <c r="C26" s="113"/>
      <c r="D26" s="113"/>
      <c r="E26" s="51"/>
      <c r="F26" s="47" t="str">
        <f t="shared" si="0"/>
        <v/>
      </c>
      <c r="G26" s="47"/>
    </row>
    <row r="27" spans="1:7" ht="15" customHeight="1" collapsed="1" x14ac:dyDescent="0.25">
      <c r="A27" s="58"/>
      <c r="B27" s="60" t="s">
        <v>972</v>
      </c>
      <c r="C27" s="58" t="s">
        <v>141</v>
      </c>
      <c r="D27" s="58" t="s">
        <v>142</v>
      </c>
      <c r="E27" s="46"/>
      <c r="F27" s="58" t="s">
        <v>148</v>
      </c>
      <c r="G27" s="59"/>
    </row>
    <row r="28" spans="1:7" ht="15" customHeight="1" x14ac:dyDescent="0.25">
      <c r="A28" s="90" t="s">
        <v>712</v>
      </c>
      <c r="B28" s="90" t="s">
        <v>211</v>
      </c>
      <c r="C28" s="90">
        <v>19060</v>
      </c>
      <c r="D28" s="90">
        <v>320</v>
      </c>
      <c r="F28" s="90">
        <v>19380</v>
      </c>
    </row>
    <row r="29" spans="1:7" hidden="1" outlineLevel="1" x14ac:dyDescent="0.25">
      <c r="A29" s="90" t="s">
        <v>713</v>
      </c>
      <c r="B29" s="91" t="s">
        <v>191</v>
      </c>
      <c r="C29" s="90">
        <v>29459</v>
      </c>
      <c r="D29" s="90">
        <v>249</v>
      </c>
      <c r="F29" s="90">
        <f>SUM(C29:D29)</f>
        <v>29708</v>
      </c>
    </row>
    <row r="30" spans="1:7" ht="15" hidden="1" customHeight="1" outlineLevel="1" x14ac:dyDescent="0.25">
      <c r="A30" s="90" t="s">
        <v>714</v>
      </c>
      <c r="B30" s="91" t="s">
        <v>192</v>
      </c>
    </row>
    <row r="31" spans="1:7" ht="15" hidden="1" customHeight="1" outlineLevel="1" x14ac:dyDescent="0.25">
      <c r="A31" s="90" t="s">
        <v>715</v>
      </c>
      <c r="B31" s="91"/>
    </row>
    <row r="32" spans="1:7" ht="15" hidden="1" customHeight="1" outlineLevel="1" x14ac:dyDescent="0.25">
      <c r="A32" s="90" t="s">
        <v>716</v>
      </c>
      <c r="B32" s="91"/>
    </row>
    <row r="33" spans="1:7" ht="15" hidden="1" customHeight="1" outlineLevel="1" x14ac:dyDescent="0.25">
      <c r="A33" s="90" t="s">
        <v>717</v>
      </c>
      <c r="B33" s="91"/>
    </row>
    <row r="34" spans="1:7" ht="15" hidden="1" customHeight="1" outlineLevel="1" x14ac:dyDescent="0.25">
      <c r="A34" s="90" t="s">
        <v>718</v>
      </c>
      <c r="B34" s="91"/>
    </row>
    <row r="35" spans="1:7" ht="15" customHeight="1" collapsed="1" x14ac:dyDescent="0.25">
      <c r="A35" s="58"/>
      <c r="B35" s="60" t="s">
        <v>973</v>
      </c>
      <c r="C35" s="58" t="s">
        <v>143</v>
      </c>
      <c r="D35" s="58" t="s">
        <v>144</v>
      </c>
      <c r="E35" s="46"/>
      <c r="F35" s="59" t="s">
        <v>147</v>
      </c>
      <c r="G35" s="59"/>
    </row>
    <row r="36" spans="1:7" x14ac:dyDescent="0.25">
      <c r="A36" s="90" t="s">
        <v>719</v>
      </c>
      <c r="B36" s="90" t="s">
        <v>205</v>
      </c>
      <c r="C36" s="47">
        <f>23646150.78/C12</f>
        <v>4.8386072101360292E-3</v>
      </c>
      <c r="D36" s="47">
        <f>834737663.77/C13</f>
        <v>0.20019198394243076</v>
      </c>
      <c r="F36" s="47">
        <f>834737663.77/(C12+C13+C14)</f>
        <v>9.2168374032106995E-2</v>
      </c>
    </row>
    <row r="37" spans="1:7" ht="15" hidden="1" customHeight="1" outlineLevel="1" x14ac:dyDescent="0.25">
      <c r="A37" s="90" t="s">
        <v>720</v>
      </c>
      <c r="C37" s="47"/>
      <c r="D37" s="47"/>
    </row>
    <row r="38" spans="1:7" ht="15" hidden="1" customHeight="1" outlineLevel="1" x14ac:dyDescent="0.25">
      <c r="A38" s="90" t="s">
        <v>721</v>
      </c>
      <c r="C38" s="47"/>
      <c r="D38" s="47"/>
    </row>
    <row r="39" spans="1:7" ht="15" hidden="1" customHeight="1" outlineLevel="1" x14ac:dyDescent="0.25">
      <c r="A39" s="90" t="s">
        <v>722</v>
      </c>
      <c r="C39" s="47"/>
      <c r="D39" s="47"/>
    </row>
    <row r="40" spans="1:7" ht="15" hidden="1" customHeight="1" outlineLevel="1" x14ac:dyDescent="0.25">
      <c r="A40" s="90" t="s">
        <v>723</v>
      </c>
      <c r="C40" s="47"/>
      <c r="D40" s="47"/>
    </row>
    <row r="41" spans="1:7" ht="15" hidden="1" customHeight="1" outlineLevel="1" x14ac:dyDescent="0.25">
      <c r="A41" s="90" t="s">
        <v>724</v>
      </c>
      <c r="C41" s="47"/>
      <c r="D41" s="47"/>
    </row>
    <row r="42" spans="1:7" ht="15" hidden="1" customHeight="1" outlineLevel="1" x14ac:dyDescent="0.25">
      <c r="A42" s="90" t="s">
        <v>725</v>
      </c>
      <c r="C42" s="47"/>
      <c r="D42" s="47"/>
    </row>
    <row r="43" spans="1:7" ht="15" customHeight="1" collapsed="1" x14ac:dyDescent="0.25">
      <c r="A43" s="58"/>
      <c r="B43" s="60" t="s">
        <v>974</v>
      </c>
      <c r="C43" s="58" t="s">
        <v>143</v>
      </c>
      <c r="D43" s="58" t="s">
        <v>144</v>
      </c>
      <c r="E43" s="46"/>
      <c r="F43" s="59" t="s">
        <v>147</v>
      </c>
      <c r="G43" s="59"/>
    </row>
    <row r="44" spans="1:7" ht="15" customHeight="1" x14ac:dyDescent="0.25">
      <c r="A44" s="90" t="s">
        <v>726</v>
      </c>
      <c r="B44" s="70" t="s">
        <v>90</v>
      </c>
      <c r="C44" s="47">
        <f>SUM(C45:C72)</f>
        <v>1</v>
      </c>
      <c r="D44" s="47">
        <f>SUM(D45:D72)</f>
        <v>1</v>
      </c>
      <c r="F44" s="47">
        <f>SUM(F45:F72)</f>
        <v>1</v>
      </c>
      <c r="G44" s="90"/>
    </row>
    <row r="45" spans="1:7" ht="15" customHeight="1" x14ac:dyDescent="0.25">
      <c r="A45" s="90" t="s">
        <v>727</v>
      </c>
      <c r="B45" s="90" t="s">
        <v>103</v>
      </c>
      <c r="C45" s="47">
        <v>0</v>
      </c>
      <c r="D45" s="47">
        <v>0</v>
      </c>
      <c r="F45" s="47">
        <v>0</v>
      </c>
      <c r="G45" s="90"/>
    </row>
    <row r="46" spans="1:7" ht="15" customHeight="1" x14ac:dyDescent="0.25">
      <c r="A46" s="90" t="s">
        <v>728</v>
      </c>
      <c r="B46" s="90" t="s">
        <v>91</v>
      </c>
      <c r="C46" s="47">
        <v>0</v>
      </c>
      <c r="D46" s="47">
        <v>0</v>
      </c>
      <c r="F46" s="47">
        <v>0</v>
      </c>
      <c r="G46" s="90"/>
    </row>
    <row r="47" spans="1:7" ht="15" customHeight="1" x14ac:dyDescent="0.25">
      <c r="A47" s="90" t="s">
        <v>729</v>
      </c>
      <c r="B47" s="90" t="s">
        <v>92</v>
      </c>
      <c r="C47" s="47">
        <v>0</v>
      </c>
      <c r="D47" s="47">
        <v>0</v>
      </c>
      <c r="F47" s="47">
        <v>0</v>
      </c>
      <c r="G47" s="90"/>
    </row>
    <row r="48" spans="1:7" ht="15" customHeight="1" x14ac:dyDescent="0.25">
      <c r="A48" s="90" t="s">
        <v>730</v>
      </c>
      <c r="B48" s="90" t="s">
        <v>265</v>
      </c>
      <c r="C48" s="47">
        <v>0</v>
      </c>
      <c r="D48" s="47">
        <v>0</v>
      </c>
      <c r="F48" s="47">
        <v>0</v>
      </c>
      <c r="G48" s="90"/>
    </row>
    <row r="49" spans="1:7" ht="15" customHeight="1" x14ac:dyDescent="0.25">
      <c r="A49" s="90" t="s">
        <v>731</v>
      </c>
      <c r="B49" s="90" t="s">
        <v>113</v>
      </c>
      <c r="C49" s="47">
        <v>0</v>
      </c>
      <c r="D49" s="47">
        <v>0</v>
      </c>
      <c r="F49" s="47">
        <v>0</v>
      </c>
      <c r="G49" s="90"/>
    </row>
    <row r="50" spans="1:7" ht="15" customHeight="1" x14ac:dyDescent="0.25">
      <c r="A50" s="90" t="s">
        <v>732</v>
      </c>
      <c r="B50" s="90" t="s">
        <v>110</v>
      </c>
      <c r="C50" s="47">
        <v>0</v>
      </c>
      <c r="D50" s="47">
        <v>0</v>
      </c>
      <c r="F50" s="47">
        <v>0</v>
      </c>
      <c r="G50" s="90"/>
    </row>
    <row r="51" spans="1:7" ht="15" customHeight="1" x14ac:dyDescent="0.25">
      <c r="A51" s="90" t="s">
        <v>733</v>
      </c>
      <c r="B51" s="90" t="s">
        <v>93</v>
      </c>
      <c r="C51" s="47">
        <v>0</v>
      </c>
      <c r="D51" s="47">
        <v>0</v>
      </c>
      <c r="F51" s="47">
        <v>0</v>
      </c>
      <c r="G51" s="90"/>
    </row>
    <row r="52" spans="1:7" ht="15" customHeight="1" x14ac:dyDescent="0.25">
      <c r="A52" s="90" t="s">
        <v>734</v>
      </c>
      <c r="B52" s="90" t="s">
        <v>94</v>
      </c>
      <c r="C52" s="47">
        <v>0</v>
      </c>
      <c r="D52" s="47">
        <v>0</v>
      </c>
      <c r="F52" s="47">
        <v>0</v>
      </c>
      <c r="G52" s="90"/>
    </row>
    <row r="53" spans="1:7" ht="15" customHeight="1" x14ac:dyDescent="0.25">
      <c r="A53" s="90" t="s">
        <v>735</v>
      </c>
      <c r="B53" s="90" t="s">
        <v>95</v>
      </c>
      <c r="C53" s="47">
        <v>0</v>
      </c>
      <c r="D53" s="47">
        <v>0</v>
      </c>
      <c r="F53" s="47">
        <v>0</v>
      </c>
      <c r="G53" s="90"/>
    </row>
    <row r="54" spans="1:7" ht="15" customHeight="1" x14ac:dyDescent="0.25">
      <c r="A54" s="90" t="s">
        <v>736</v>
      </c>
      <c r="B54" s="90" t="s">
        <v>0</v>
      </c>
      <c r="C54" s="47">
        <v>0</v>
      </c>
      <c r="D54" s="47">
        <v>0</v>
      </c>
      <c r="F54" s="47">
        <v>0</v>
      </c>
      <c r="G54" s="90"/>
    </row>
    <row r="55" spans="1:7" ht="15" customHeight="1" x14ac:dyDescent="0.25">
      <c r="A55" s="90" t="s">
        <v>737</v>
      </c>
      <c r="B55" s="90" t="s">
        <v>14</v>
      </c>
      <c r="C55" s="47">
        <v>0</v>
      </c>
      <c r="D55" s="47">
        <v>0</v>
      </c>
      <c r="F55" s="47">
        <v>0</v>
      </c>
      <c r="G55" s="90"/>
    </row>
    <row r="56" spans="1:7" ht="15" customHeight="1" x14ac:dyDescent="0.25">
      <c r="A56" s="90" t="s">
        <v>738</v>
      </c>
      <c r="B56" s="90" t="s">
        <v>96</v>
      </c>
      <c r="C56" s="47">
        <v>0</v>
      </c>
      <c r="D56" s="47">
        <v>0</v>
      </c>
      <c r="F56" s="47">
        <v>0</v>
      </c>
      <c r="G56" s="90"/>
    </row>
    <row r="57" spans="1:7" ht="15" customHeight="1" x14ac:dyDescent="0.25">
      <c r="A57" s="90" t="s">
        <v>739</v>
      </c>
      <c r="B57" s="90" t="s">
        <v>268</v>
      </c>
      <c r="C57" s="47">
        <v>0</v>
      </c>
      <c r="D57" s="47">
        <v>0</v>
      </c>
      <c r="F57" s="47">
        <v>0</v>
      </c>
      <c r="G57" s="90"/>
    </row>
    <row r="58" spans="1:7" ht="15" customHeight="1" x14ac:dyDescent="0.25">
      <c r="A58" s="90" t="s">
        <v>740</v>
      </c>
      <c r="B58" s="90" t="s">
        <v>111</v>
      </c>
      <c r="C58" s="47">
        <v>0</v>
      </c>
      <c r="D58" s="47">
        <v>0</v>
      </c>
      <c r="F58" s="47">
        <v>0</v>
      </c>
      <c r="G58" s="90"/>
    </row>
    <row r="59" spans="1:7" ht="15" customHeight="1" x14ac:dyDescent="0.25">
      <c r="A59" s="90" t="s">
        <v>741</v>
      </c>
      <c r="B59" s="90" t="s">
        <v>97</v>
      </c>
      <c r="C59" s="47">
        <v>0</v>
      </c>
      <c r="D59" s="47">
        <v>0</v>
      </c>
      <c r="F59" s="47">
        <v>0</v>
      </c>
      <c r="G59" s="90"/>
    </row>
    <row r="60" spans="1:7" ht="15" customHeight="1" x14ac:dyDescent="0.25">
      <c r="A60" s="90" t="s">
        <v>742</v>
      </c>
      <c r="B60" s="90" t="s">
        <v>98</v>
      </c>
      <c r="C60" s="47">
        <v>0</v>
      </c>
      <c r="D60" s="47">
        <v>0</v>
      </c>
      <c r="F60" s="47">
        <v>0</v>
      </c>
      <c r="G60" s="90"/>
    </row>
    <row r="61" spans="1:7" ht="15" customHeight="1" x14ac:dyDescent="0.25">
      <c r="A61" s="90" t="s">
        <v>743</v>
      </c>
      <c r="B61" s="90" t="s">
        <v>99</v>
      </c>
      <c r="C61" s="47">
        <v>0</v>
      </c>
      <c r="D61" s="47">
        <v>0</v>
      </c>
      <c r="F61" s="47">
        <v>0</v>
      </c>
      <c r="G61" s="90"/>
    </row>
    <row r="62" spans="1:7" ht="15" customHeight="1" x14ac:dyDescent="0.25">
      <c r="A62" s="90" t="s">
        <v>744</v>
      </c>
      <c r="B62" s="90" t="s">
        <v>100</v>
      </c>
      <c r="C62" s="47">
        <v>0</v>
      </c>
      <c r="D62" s="47">
        <v>0</v>
      </c>
      <c r="F62" s="47">
        <v>0</v>
      </c>
      <c r="G62" s="90"/>
    </row>
    <row r="63" spans="1:7" ht="15" customHeight="1" x14ac:dyDescent="0.25">
      <c r="A63" s="90" t="s">
        <v>745</v>
      </c>
      <c r="B63" s="90" t="s">
        <v>101</v>
      </c>
      <c r="C63" s="47">
        <v>0</v>
      </c>
      <c r="D63" s="47">
        <v>0</v>
      </c>
      <c r="F63" s="47">
        <v>0</v>
      </c>
      <c r="G63" s="90"/>
    </row>
    <row r="64" spans="1:7" ht="15" customHeight="1" x14ac:dyDescent="0.25">
      <c r="A64" s="90" t="s">
        <v>746</v>
      </c>
      <c r="B64" s="90" t="s">
        <v>102</v>
      </c>
      <c r="C64" s="47">
        <v>0</v>
      </c>
      <c r="D64" s="47">
        <v>0</v>
      </c>
      <c r="F64" s="47">
        <v>0</v>
      </c>
      <c r="G64" s="90"/>
    </row>
    <row r="65" spans="1:7" ht="15" customHeight="1" x14ac:dyDescent="0.25">
      <c r="A65" s="90" t="s">
        <v>747</v>
      </c>
      <c r="B65" s="90" t="s">
        <v>104</v>
      </c>
      <c r="C65" s="47">
        <v>1</v>
      </c>
      <c r="D65" s="47">
        <v>1</v>
      </c>
      <c r="F65" s="47">
        <v>1</v>
      </c>
      <c r="G65" s="90"/>
    </row>
    <row r="66" spans="1:7" ht="15" customHeight="1" x14ac:dyDescent="0.25">
      <c r="A66" s="90" t="s">
        <v>748</v>
      </c>
      <c r="B66" s="90" t="s">
        <v>105</v>
      </c>
      <c r="C66" s="47">
        <v>0</v>
      </c>
      <c r="D66" s="47">
        <v>0</v>
      </c>
      <c r="F66" s="47">
        <v>0</v>
      </c>
      <c r="G66" s="90"/>
    </row>
    <row r="67" spans="1:7" ht="15" customHeight="1" x14ac:dyDescent="0.25">
      <c r="A67" s="90" t="s">
        <v>749</v>
      </c>
      <c r="B67" s="90" t="s">
        <v>106</v>
      </c>
      <c r="C67" s="47">
        <v>0</v>
      </c>
      <c r="D67" s="47">
        <v>0</v>
      </c>
      <c r="F67" s="47">
        <v>0</v>
      </c>
      <c r="G67" s="90"/>
    </row>
    <row r="68" spans="1:7" ht="15" customHeight="1" x14ac:dyDescent="0.25">
      <c r="A68" s="90" t="s">
        <v>750</v>
      </c>
      <c r="B68" s="90" t="s">
        <v>108</v>
      </c>
      <c r="C68" s="47">
        <v>0</v>
      </c>
      <c r="D68" s="47">
        <v>0</v>
      </c>
      <c r="F68" s="47">
        <v>0</v>
      </c>
      <c r="G68" s="90"/>
    </row>
    <row r="69" spans="1:7" ht="15" customHeight="1" x14ac:dyDescent="0.25">
      <c r="A69" s="90" t="s">
        <v>751</v>
      </c>
      <c r="B69" s="90" t="s">
        <v>109</v>
      </c>
      <c r="C69" s="47">
        <v>0</v>
      </c>
      <c r="D69" s="47">
        <v>0</v>
      </c>
      <c r="F69" s="47">
        <v>0</v>
      </c>
      <c r="G69" s="90"/>
    </row>
    <row r="70" spans="1:7" ht="15" customHeight="1" x14ac:dyDescent="0.25">
      <c r="A70" s="90" t="s">
        <v>752</v>
      </c>
      <c r="B70" s="90" t="s">
        <v>15</v>
      </c>
      <c r="C70" s="47">
        <v>0</v>
      </c>
      <c r="D70" s="47">
        <v>0</v>
      </c>
      <c r="F70" s="47">
        <v>0</v>
      </c>
      <c r="G70" s="90"/>
    </row>
    <row r="71" spans="1:7" ht="15" customHeight="1" x14ac:dyDescent="0.25">
      <c r="A71" s="90" t="s">
        <v>753</v>
      </c>
      <c r="B71" s="90" t="s">
        <v>107</v>
      </c>
      <c r="C71" s="47">
        <v>0</v>
      </c>
      <c r="D71" s="47">
        <v>0</v>
      </c>
      <c r="F71" s="47">
        <v>0</v>
      </c>
      <c r="G71" s="90"/>
    </row>
    <row r="72" spans="1:7" ht="15" customHeight="1" x14ac:dyDescent="0.25">
      <c r="A72" s="90" t="s">
        <v>754</v>
      </c>
      <c r="B72" s="90" t="s">
        <v>112</v>
      </c>
      <c r="C72" s="47">
        <v>0</v>
      </c>
      <c r="D72" s="47">
        <v>0</v>
      </c>
      <c r="F72" s="47">
        <v>0</v>
      </c>
      <c r="G72" s="90"/>
    </row>
    <row r="73" spans="1:7" ht="15" customHeight="1" x14ac:dyDescent="0.25">
      <c r="A73" s="90" t="s">
        <v>755</v>
      </c>
      <c r="B73" s="70" t="s">
        <v>114</v>
      </c>
      <c r="C73" s="118">
        <f>SUM(C74:C76)</f>
        <v>0</v>
      </c>
      <c r="D73" s="118">
        <f>SUM(D74:D76)</f>
        <v>0</v>
      </c>
      <c r="E73" s="70"/>
      <c r="F73" s="118">
        <f>SUM(F74:F76)</f>
        <v>0</v>
      </c>
      <c r="G73" s="90"/>
    </row>
    <row r="74" spans="1:7" ht="15" customHeight="1" x14ac:dyDescent="0.25">
      <c r="A74" s="90" t="s">
        <v>756</v>
      </c>
      <c r="B74" s="90" t="s">
        <v>115</v>
      </c>
      <c r="C74" s="47">
        <v>0</v>
      </c>
      <c r="D74" s="47">
        <v>0</v>
      </c>
      <c r="F74" s="47">
        <v>0</v>
      </c>
      <c r="G74" s="90"/>
    </row>
    <row r="75" spans="1:7" ht="15" customHeight="1" x14ac:dyDescent="0.25">
      <c r="A75" s="90" t="s">
        <v>757</v>
      </c>
      <c r="B75" s="90" t="s">
        <v>116</v>
      </c>
      <c r="C75" s="47">
        <v>0</v>
      </c>
      <c r="D75" s="47">
        <v>0</v>
      </c>
      <c r="F75" s="47">
        <v>0</v>
      </c>
      <c r="G75" s="90"/>
    </row>
    <row r="76" spans="1:7" ht="15" customHeight="1" x14ac:dyDescent="0.25">
      <c r="A76" s="90" t="s">
        <v>758</v>
      </c>
      <c r="B76" s="90" t="s">
        <v>117</v>
      </c>
      <c r="C76" s="47">
        <v>0</v>
      </c>
      <c r="D76" s="47">
        <v>0</v>
      </c>
      <c r="F76" s="47">
        <v>0</v>
      </c>
      <c r="G76" s="90"/>
    </row>
    <row r="77" spans="1:7" ht="15" customHeight="1" x14ac:dyDescent="0.25">
      <c r="A77" s="90" t="s">
        <v>759</v>
      </c>
      <c r="B77" s="70" t="s">
        <v>2</v>
      </c>
      <c r="C77" s="47">
        <f>SUM(C78:C87)</f>
        <v>0</v>
      </c>
      <c r="D77" s="47">
        <f>SUM(D78:D87)</f>
        <v>0</v>
      </c>
      <c r="F77" s="47">
        <f>SUM(F78:F87)</f>
        <v>0</v>
      </c>
      <c r="G77" s="90"/>
    </row>
    <row r="78" spans="1:7" ht="15" customHeight="1" x14ac:dyDescent="0.25">
      <c r="A78" s="90" t="s">
        <v>760</v>
      </c>
      <c r="B78" s="86" t="s">
        <v>118</v>
      </c>
      <c r="C78" s="47">
        <v>0</v>
      </c>
      <c r="D78" s="47">
        <v>0</v>
      </c>
      <c r="F78" s="47">
        <v>0</v>
      </c>
      <c r="G78" s="90"/>
    </row>
    <row r="79" spans="1:7" ht="15" customHeight="1" x14ac:dyDescent="0.25">
      <c r="A79" s="90" t="s">
        <v>761</v>
      </c>
      <c r="B79" s="86" t="s">
        <v>119</v>
      </c>
      <c r="C79" s="47">
        <v>0</v>
      </c>
      <c r="D79" s="47">
        <v>0</v>
      </c>
      <c r="F79" s="47">
        <v>0</v>
      </c>
      <c r="G79" s="90"/>
    </row>
    <row r="80" spans="1:7" ht="15" customHeight="1" x14ac:dyDescent="0.25">
      <c r="A80" s="90" t="s">
        <v>762</v>
      </c>
      <c r="B80" s="86" t="s">
        <v>140</v>
      </c>
      <c r="C80" s="47">
        <v>0</v>
      </c>
      <c r="D80" s="47">
        <v>0</v>
      </c>
      <c r="F80" s="47">
        <v>0</v>
      </c>
      <c r="G80" s="90"/>
    </row>
    <row r="81" spans="1:7" ht="15" customHeight="1" x14ac:dyDescent="0.25">
      <c r="A81" s="90" t="s">
        <v>763</v>
      </c>
      <c r="B81" s="86" t="s">
        <v>120</v>
      </c>
      <c r="C81" s="47">
        <v>0</v>
      </c>
      <c r="D81" s="47">
        <v>0</v>
      </c>
      <c r="F81" s="47">
        <v>0</v>
      </c>
      <c r="G81" s="90"/>
    </row>
    <row r="82" spans="1:7" ht="15" customHeight="1" x14ac:dyDescent="0.25">
      <c r="A82" s="90" t="s">
        <v>764</v>
      </c>
      <c r="B82" s="86" t="s">
        <v>121</v>
      </c>
      <c r="C82" s="47">
        <v>0</v>
      </c>
      <c r="D82" s="47">
        <v>0</v>
      </c>
      <c r="F82" s="47">
        <v>0</v>
      </c>
      <c r="G82" s="90"/>
    </row>
    <row r="83" spans="1:7" ht="15" customHeight="1" x14ac:dyDescent="0.25">
      <c r="A83" s="90" t="s">
        <v>765</v>
      </c>
      <c r="B83" s="86" t="s">
        <v>122</v>
      </c>
      <c r="C83" s="47">
        <v>0</v>
      </c>
      <c r="D83" s="47">
        <v>0</v>
      </c>
      <c r="F83" s="47">
        <v>0</v>
      </c>
      <c r="G83" s="90"/>
    </row>
    <row r="84" spans="1:7" ht="15" customHeight="1" x14ac:dyDescent="0.25">
      <c r="A84" s="90" t="s">
        <v>766</v>
      </c>
      <c r="B84" s="86" t="s">
        <v>123</v>
      </c>
      <c r="C84" s="47">
        <v>0</v>
      </c>
      <c r="D84" s="47">
        <v>0</v>
      </c>
      <c r="F84" s="47">
        <v>0</v>
      </c>
      <c r="G84" s="90"/>
    </row>
    <row r="85" spans="1:7" ht="15" customHeight="1" x14ac:dyDescent="0.25">
      <c r="A85" s="90" t="s">
        <v>767</v>
      </c>
      <c r="B85" s="86" t="s">
        <v>126</v>
      </c>
      <c r="C85" s="47">
        <v>0</v>
      </c>
      <c r="D85" s="47">
        <v>0</v>
      </c>
      <c r="F85" s="47">
        <v>0</v>
      </c>
      <c r="G85" s="90"/>
    </row>
    <row r="86" spans="1:7" ht="15" customHeight="1" x14ac:dyDescent="0.25">
      <c r="A86" s="90" t="s">
        <v>768</v>
      </c>
      <c r="B86" s="86" t="s">
        <v>124</v>
      </c>
      <c r="C86" s="47">
        <v>0</v>
      </c>
      <c r="D86" s="47">
        <v>0</v>
      </c>
      <c r="F86" s="47">
        <v>0</v>
      </c>
      <c r="G86" s="90"/>
    </row>
    <row r="87" spans="1:7" ht="15" customHeight="1" x14ac:dyDescent="0.25">
      <c r="A87" s="90" t="s">
        <v>769</v>
      </c>
      <c r="B87" s="86" t="s">
        <v>2</v>
      </c>
      <c r="C87" s="47">
        <v>0</v>
      </c>
      <c r="D87" s="47">
        <v>0</v>
      </c>
      <c r="F87" s="47">
        <v>0</v>
      </c>
      <c r="G87" s="90"/>
    </row>
    <row r="88" spans="1:7" ht="15" hidden="1" customHeight="1" outlineLevel="1" x14ac:dyDescent="0.25">
      <c r="A88" s="90" t="s">
        <v>1106</v>
      </c>
      <c r="B88" s="67" t="s">
        <v>154</v>
      </c>
      <c r="C88" s="47"/>
      <c r="D88" s="47"/>
      <c r="F88" s="47"/>
      <c r="G88" s="90"/>
    </row>
    <row r="89" spans="1:7" ht="15" hidden="1" customHeight="1" outlineLevel="1" x14ac:dyDescent="0.25">
      <c r="A89" s="90" t="s">
        <v>1107</v>
      </c>
      <c r="B89" s="67" t="s">
        <v>154</v>
      </c>
      <c r="C89" s="47"/>
      <c r="D89" s="47"/>
      <c r="F89" s="47"/>
      <c r="G89" s="90"/>
    </row>
    <row r="90" spans="1:7" ht="15" hidden="1" customHeight="1" outlineLevel="1" x14ac:dyDescent="0.25">
      <c r="A90" s="90" t="s">
        <v>1108</v>
      </c>
      <c r="B90" s="67" t="s">
        <v>154</v>
      </c>
      <c r="C90" s="47"/>
      <c r="D90" s="47"/>
      <c r="F90" s="47"/>
      <c r="G90" s="90"/>
    </row>
    <row r="91" spans="1:7" ht="15" hidden="1" customHeight="1" outlineLevel="1" x14ac:dyDescent="0.25">
      <c r="A91" s="90" t="s">
        <v>1109</v>
      </c>
      <c r="B91" s="67" t="s">
        <v>154</v>
      </c>
      <c r="C91" s="47"/>
      <c r="D91" s="47"/>
      <c r="F91" s="47"/>
      <c r="G91" s="90"/>
    </row>
    <row r="92" spans="1:7" ht="15" hidden="1" customHeight="1" outlineLevel="1" x14ac:dyDescent="0.25">
      <c r="A92" s="90" t="s">
        <v>1110</v>
      </c>
      <c r="B92" s="67" t="s">
        <v>154</v>
      </c>
      <c r="C92" s="47"/>
      <c r="D92" s="47"/>
      <c r="F92" s="47"/>
      <c r="G92" s="90"/>
    </row>
    <row r="93" spans="1:7" ht="15" hidden="1" customHeight="1" outlineLevel="1" x14ac:dyDescent="0.25">
      <c r="A93" s="90" t="s">
        <v>1111</v>
      </c>
      <c r="B93" s="67" t="s">
        <v>154</v>
      </c>
      <c r="C93" s="47"/>
      <c r="D93" s="47"/>
      <c r="F93" s="47"/>
      <c r="G93" s="90"/>
    </row>
    <row r="94" spans="1:7" ht="15" hidden="1" customHeight="1" outlineLevel="1" x14ac:dyDescent="0.25">
      <c r="A94" s="90" t="s">
        <v>1112</v>
      </c>
      <c r="B94" s="67" t="s">
        <v>154</v>
      </c>
      <c r="C94" s="47"/>
      <c r="D94" s="47"/>
      <c r="F94" s="47"/>
      <c r="G94" s="90"/>
    </row>
    <row r="95" spans="1:7" ht="15" hidden="1" customHeight="1" outlineLevel="1" x14ac:dyDescent="0.25">
      <c r="A95" s="90" t="s">
        <v>1113</v>
      </c>
      <c r="B95" s="67" t="s">
        <v>154</v>
      </c>
      <c r="C95" s="47"/>
      <c r="D95" s="47"/>
      <c r="F95" s="47"/>
      <c r="G95" s="90"/>
    </row>
    <row r="96" spans="1:7" ht="15" hidden="1" customHeight="1" outlineLevel="1" x14ac:dyDescent="0.25">
      <c r="A96" s="90" t="s">
        <v>1114</v>
      </c>
      <c r="B96" s="67" t="s">
        <v>154</v>
      </c>
      <c r="C96" s="47"/>
      <c r="D96" s="47"/>
      <c r="F96" s="47"/>
      <c r="G96" s="90"/>
    </row>
    <row r="97" spans="1:7" ht="15" hidden="1" customHeight="1" outlineLevel="1" x14ac:dyDescent="0.25">
      <c r="A97" s="90" t="s">
        <v>1115</v>
      </c>
      <c r="B97" s="67" t="s">
        <v>154</v>
      </c>
      <c r="C97" s="47"/>
      <c r="D97" s="47"/>
      <c r="F97" s="47"/>
      <c r="G97" s="90"/>
    </row>
    <row r="98" spans="1:7" ht="15" customHeight="1" collapsed="1" x14ac:dyDescent="0.25">
      <c r="A98" s="58"/>
      <c r="B98" s="60" t="s">
        <v>975</v>
      </c>
      <c r="C98" s="58" t="s">
        <v>143</v>
      </c>
      <c r="D98" s="58" t="s">
        <v>144</v>
      </c>
      <c r="E98" s="46"/>
      <c r="F98" s="59" t="s">
        <v>147</v>
      </c>
      <c r="G98" s="59"/>
    </row>
    <row r="99" spans="1:7" ht="15" customHeight="1" x14ac:dyDescent="0.25">
      <c r="A99" s="90" t="s">
        <v>770</v>
      </c>
      <c r="B99" s="120" t="s">
        <v>1035</v>
      </c>
      <c r="C99" s="47">
        <f>509486722.38/C12</f>
        <v>0.10425401374254627</v>
      </c>
      <c r="D99" s="47">
        <f>747134278.23/C13</f>
        <v>0.17918239456782403</v>
      </c>
      <c r="F99" s="47">
        <f t="shared" ref="F99:F114" si="1">(C99*$C$12+D99*$C$13)/$C$15</f>
        <v>0.1387510345199133</v>
      </c>
      <c r="G99" s="90"/>
    </row>
    <row r="100" spans="1:7" ht="15" customHeight="1" x14ac:dyDescent="0.25">
      <c r="A100" s="90" t="s">
        <v>771</v>
      </c>
      <c r="B100" s="120" t="s">
        <v>1036</v>
      </c>
      <c r="C100" s="47">
        <f>128271394.61/C12</f>
        <v>2.6247607933681194E-2</v>
      </c>
      <c r="D100" s="47">
        <f>7528036.6/C13</f>
        <v>1.8054206100378836E-3</v>
      </c>
      <c r="F100" s="47">
        <f t="shared" si="1"/>
        <v>1.4994426767065566E-2</v>
      </c>
      <c r="G100" s="90"/>
    </row>
    <row r="101" spans="1:7" ht="15" customHeight="1" x14ac:dyDescent="0.25">
      <c r="A101" s="90" t="s">
        <v>772</v>
      </c>
      <c r="B101" s="120" t="s">
        <v>1037</v>
      </c>
      <c r="C101" s="47">
        <f>99994119.64/C12</f>
        <v>2.046135427126413E-2</v>
      </c>
      <c r="D101" s="47">
        <f>68945118.44/C13</f>
        <v>1.6534847584704748E-2</v>
      </c>
      <c r="F101" s="47">
        <f t="shared" si="1"/>
        <v>1.8653590894332685E-2</v>
      </c>
      <c r="G101" s="90"/>
    </row>
    <row r="102" spans="1:7" ht="15" customHeight="1" x14ac:dyDescent="0.25">
      <c r="A102" s="90" t="s">
        <v>773</v>
      </c>
      <c r="B102" s="120" t="s">
        <v>1038</v>
      </c>
      <c r="C102" s="47">
        <f>40437015.81/C12</f>
        <v>8.2744476289197798E-3</v>
      </c>
      <c r="D102" s="47">
        <f>6697131.77/C13</f>
        <v>1.6061478401549602E-3</v>
      </c>
      <c r="F102" s="47">
        <f t="shared" si="1"/>
        <v>5.2043629183060013E-3</v>
      </c>
      <c r="G102" s="90"/>
    </row>
    <row r="103" spans="1:7" ht="15" customHeight="1" x14ac:dyDescent="0.25">
      <c r="A103" s="90" t="s">
        <v>774</v>
      </c>
      <c r="B103" s="120" t="s">
        <v>1039</v>
      </c>
      <c r="C103" s="47">
        <f>204955222.35/C12</f>
        <v>4.1939080311393623E-2</v>
      </c>
      <c r="D103" s="47">
        <f>124549264.07/C13</f>
        <v>2.9870180003777991E-2</v>
      </c>
      <c r="F103" s="47">
        <f t="shared" si="1"/>
        <v>3.6382559536673624E-2</v>
      </c>
      <c r="G103" s="90"/>
    </row>
    <row r="104" spans="1:7" ht="15" customHeight="1" x14ac:dyDescent="0.25">
      <c r="A104" s="90" t="s">
        <v>775</v>
      </c>
      <c r="B104" s="120" t="s">
        <v>1040</v>
      </c>
      <c r="C104" s="47">
        <f>512553832.19/C12</f>
        <v>0.10488162285233411</v>
      </c>
      <c r="D104" s="47">
        <f>434901889.91/C13</f>
        <v>0.10430087911474033</v>
      </c>
      <c r="F104" s="47">
        <f t="shared" si="1"/>
        <v>0.10461424848014778</v>
      </c>
      <c r="G104" s="90"/>
    </row>
    <row r="105" spans="1:7" ht="15" customHeight="1" x14ac:dyDescent="0.25">
      <c r="A105" s="90" t="s">
        <v>776</v>
      </c>
      <c r="B105" s="120" t="s">
        <v>1041</v>
      </c>
      <c r="C105" s="47">
        <f>1955826066.41/C12</f>
        <v>0.40021203428625918</v>
      </c>
      <c r="D105" s="47">
        <f>1405961675.61/C13</f>
        <v>0.33718648313554839</v>
      </c>
      <c r="F105" s="47">
        <f t="shared" si="1"/>
        <v>0.37119507537691104</v>
      </c>
      <c r="G105" s="90"/>
    </row>
    <row r="106" spans="1:7" ht="15" customHeight="1" x14ac:dyDescent="0.25">
      <c r="A106" s="90" t="s">
        <v>777</v>
      </c>
      <c r="B106" s="120" t="s">
        <v>1042</v>
      </c>
      <c r="C106" s="47">
        <f>33928884.23/C12</f>
        <v>6.9427174593677601E-3</v>
      </c>
      <c r="D106" s="47">
        <f>71042755.98/C13</f>
        <v>1.7037916080294313E-2</v>
      </c>
      <c r="F106" s="47">
        <f t="shared" si="1"/>
        <v>1.1590546129118799E-2</v>
      </c>
      <c r="G106" s="90"/>
    </row>
    <row r="107" spans="1:7" ht="15" customHeight="1" x14ac:dyDescent="0.25">
      <c r="A107" s="90" t="s">
        <v>778</v>
      </c>
      <c r="B107" s="120" t="s">
        <v>1043</v>
      </c>
      <c r="C107" s="47">
        <f>36413291.19/C12</f>
        <v>7.451090663167831E-3</v>
      </c>
      <c r="D107" s="47">
        <f>163293281.27/C13</f>
        <v>3.9162011444733295E-2</v>
      </c>
      <c r="F107" s="47">
        <f t="shared" si="1"/>
        <v>2.2050796155563244E-2</v>
      </c>
      <c r="G107" s="90"/>
    </row>
    <row r="108" spans="1:7" ht="15" customHeight="1" x14ac:dyDescent="0.25">
      <c r="A108" s="90" t="s">
        <v>779</v>
      </c>
      <c r="B108" s="120" t="s">
        <v>1044</v>
      </c>
      <c r="C108" s="47">
        <f>112543700.14/C12</f>
        <v>2.3029319402521006E-2</v>
      </c>
      <c r="D108" s="47">
        <f>9541691.94/C13</f>
        <v>2.28834797151602E-3</v>
      </c>
      <c r="F108" s="47">
        <f t="shared" si="1"/>
        <v>1.3480177748618174E-2</v>
      </c>
      <c r="G108" s="90"/>
    </row>
    <row r="109" spans="1:7" ht="15" customHeight="1" x14ac:dyDescent="0.25">
      <c r="A109" s="90" t="s">
        <v>780</v>
      </c>
      <c r="B109" s="120" t="s">
        <v>1045</v>
      </c>
      <c r="C109" s="47">
        <f>417369107.24/C12</f>
        <v>8.5404393736996265E-2</v>
      </c>
      <c r="D109" s="47">
        <f>279845643.59/C13</f>
        <v>6.7114324678854767E-2</v>
      </c>
      <c r="F109" s="47">
        <f t="shared" si="1"/>
        <v>7.6983647347327502E-2</v>
      </c>
      <c r="G109" s="90"/>
    </row>
    <row r="110" spans="1:7" ht="15" customHeight="1" x14ac:dyDescent="0.25">
      <c r="A110" s="90" t="s">
        <v>781</v>
      </c>
      <c r="B110" s="120" t="s">
        <v>1046</v>
      </c>
      <c r="C110" s="47">
        <f>198983751.03/C12</f>
        <v>4.0717164556356197E-2</v>
      </c>
      <c r="D110" s="47">
        <f>310052182.82/C13</f>
        <v>7.4358644995225154E-2</v>
      </c>
      <c r="F110" s="47">
        <f t="shared" si="1"/>
        <v>5.6205699566704813E-2</v>
      </c>
      <c r="G110" s="90"/>
    </row>
    <row r="111" spans="1:7" ht="15" customHeight="1" x14ac:dyDescent="0.25">
      <c r="A111" s="90" t="s">
        <v>782</v>
      </c>
      <c r="B111" s="120" t="s">
        <v>1047</v>
      </c>
      <c r="C111" s="47">
        <f>24479863.07/C12</f>
        <v>5.0092060672229507E-3</v>
      </c>
      <c r="D111" s="47">
        <f>59362327.39/C13</f>
        <v>1.4236642968728707E-2</v>
      </c>
      <c r="F111" s="47">
        <f t="shared" si="1"/>
        <v>9.2575173079978128E-3</v>
      </c>
      <c r="G111" s="90"/>
    </row>
    <row r="112" spans="1:7" ht="15" customHeight="1" x14ac:dyDescent="0.25">
      <c r="A112" s="90" t="s">
        <v>783</v>
      </c>
      <c r="B112" s="120" t="s">
        <v>1048</v>
      </c>
      <c r="C112" s="47">
        <f>56059744.98/C12</f>
        <v>1.1471257575166956E-2</v>
      </c>
      <c r="D112" s="47">
        <f>29533313.65/C13</f>
        <v>7.0828631659977789E-3</v>
      </c>
      <c r="F112" s="47">
        <f t="shared" si="1"/>
        <v>9.4508411262195016E-3</v>
      </c>
      <c r="G112" s="90"/>
    </row>
    <row r="113" spans="1:7" ht="15" customHeight="1" x14ac:dyDescent="0.25">
      <c r="A113" s="90" t="s">
        <v>784</v>
      </c>
      <c r="B113" s="120" t="s">
        <v>1049</v>
      </c>
      <c r="C113" s="47">
        <f>358854583.06/C12</f>
        <v>7.3430825555468038E-2</v>
      </c>
      <c r="D113" s="47">
        <f>362330437.77/C13</f>
        <v>8.6896341603069097E-2</v>
      </c>
      <c r="F113" s="47">
        <f t="shared" si="1"/>
        <v>7.9630348109615529E-2</v>
      </c>
      <c r="G113" s="90"/>
    </row>
    <row r="114" spans="1:7" ht="15" customHeight="1" x14ac:dyDescent="0.25">
      <c r="A114" s="90" t="s">
        <v>785</v>
      </c>
      <c r="B114" s="120" t="s">
        <v>1050</v>
      </c>
      <c r="C114" s="47">
        <f>196817352.24/C12</f>
        <v>4.0273863957334816E-2</v>
      </c>
      <c r="D114" s="47">
        <f>88966726.26/C13</f>
        <v>2.1336554234792457E-2</v>
      </c>
      <c r="F114" s="47">
        <f t="shared" si="1"/>
        <v>3.1555128015484761E-2</v>
      </c>
      <c r="G114" s="90"/>
    </row>
    <row r="115" spans="1:7" ht="15" customHeight="1" x14ac:dyDescent="0.25">
      <c r="A115" s="58"/>
      <c r="B115" s="60" t="s">
        <v>976</v>
      </c>
      <c r="C115" s="58" t="s">
        <v>143</v>
      </c>
      <c r="D115" s="58" t="s">
        <v>144</v>
      </c>
      <c r="E115" s="46"/>
      <c r="F115" s="59" t="s">
        <v>147</v>
      </c>
      <c r="G115" s="59"/>
    </row>
    <row r="116" spans="1:7" ht="15" customHeight="1" x14ac:dyDescent="0.25">
      <c r="A116" s="90" t="s">
        <v>786</v>
      </c>
      <c r="B116" s="90" t="s">
        <v>33</v>
      </c>
      <c r="C116" s="47">
        <f>0/C12</f>
        <v>0</v>
      </c>
      <c r="D116" s="47">
        <f>0/C13</f>
        <v>0</v>
      </c>
      <c r="E116" s="52"/>
      <c r="F116" s="47">
        <f>(C116*C12+D116*C13)/$C$15</f>
        <v>0</v>
      </c>
      <c r="G116" s="112"/>
    </row>
    <row r="117" spans="1:7" ht="15" customHeight="1" x14ac:dyDescent="0.25">
      <c r="A117" s="90" t="s">
        <v>787</v>
      </c>
      <c r="B117" s="90" t="s">
        <v>34</v>
      </c>
      <c r="C117" s="47">
        <f>4886974650.57/C12</f>
        <v>1</v>
      </c>
      <c r="D117" s="47">
        <f>4169685755.3/C13</f>
        <v>1</v>
      </c>
      <c r="E117" s="52"/>
      <c r="F117" s="47">
        <f>(C117*C12+D117*C13)/C15</f>
        <v>1</v>
      </c>
    </row>
    <row r="118" spans="1:7" ht="15" customHeight="1" x14ac:dyDescent="0.25">
      <c r="A118" s="90" t="s">
        <v>788</v>
      </c>
      <c r="B118" s="90" t="s">
        <v>2</v>
      </c>
      <c r="C118" s="47">
        <v>0</v>
      </c>
      <c r="D118" s="47">
        <v>0</v>
      </c>
      <c r="E118" s="52"/>
      <c r="F118" s="47">
        <v>0</v>
      </c>
    </row>
    <row r="119" spans="1:7" ht="15" hidden="1" customHeight="1" outlineLevel="1" x14ac:dyDescent="0.25">
      <c r="A119" s="90" t="s">
        <v>789</v>
      </c>
      <c r="C119" s="47"/>
      <c r="D119" s="47"/>
      <c r="E119" s="52"/>
      <c r="F119" s="47"/>
    </row>
    <row r="120" spans="1:7" ht="15" hidden="1" customHeight="1" outlineLevel="1" x14ac:dyDescent="0.25">
      <c r="A120" s="90" t="s">
        <v>790</v>
      </c>
      <c r="C120" s="47"/>
      <c r="D120" s="47"/>
      <c r="E120" s="52"/>
      <c r="F120" s="47"/>
    </row>
    <row r="121" spans="1:7" ht="15" hidden="1" customHeight="1" outlineLevel="1" x14ac:dyDescent="0.25">
      <c r="A121" s="90" t="s">
        <v>791</v>
      </c>
      <c r="C121" s="47"/>
      <c r="D121" s="47"/>
      <c r="E121" s="52"/>
      <c r="F121" s="47"/>
    </row>
    <row r="122" spans="1:7" ht="15" hidden="1" customHeight="1" outlineLevel="1" x14ac:dyDescent="0.25">
      <c r="A122" s="90" t="s">
        <v>792</v>
      </c>
      <c r="C122" s="47"/>
      <c r="D122" s="47"/>
      <c r="E122" s="52"/>
      <c r="F122" s="47"/>
    </row>
    <row r="123" spans="1:7" ht="15" hidden="1" customHeight="1" outlineLevel="1" x14ac:dyDescent="0.25">
      <c r="A123" s="90" t="s">
        <v>793</v>
      </c>
      <c r="C123" s="47"/>
      <c r="D123" s="47"/>
      <c r="E123" s="52"/>
      <c r="F123" s="47"/>
    </row>
    <row r="124" spans="1:7" ht="15" hidden="1" customHeight="1" outlineLevel="1" x14ac:dyDescent="0.25">
      <c r="A124" s="90" t="s">
        <v>794</v>
      </c>
      <c r="C124" s="47"/>
      <c r="D124" s="47"/>
      <c r="E124" s="52"/>
      <c r="F124" s="47"/>
    </row>
    <row r="125" spans="1:7" ht="15" customHeight="1" collapsed="1" x14ac:dyDescent="0.25">
      <c r="A125" s="58"/>
      <c r="B125" s="60" t="s">
        <v>977</v>
      </c>
      <c r="C125" s="58" t="s">
        <v>143</v>
      </c>
      <c r="D125" s="58" t="s">
        <v>144</v>
      </c>
      <c r="E125" s="46"/>
      <c r="F125" s="59" t="s">
        <v>147</v>
      </c>
      <c r="G125" s="59"/>
    </row>
    <row r="126" spans="1:7" ht="15" customHeight="1" x14ac:dyDescent="0.25">
      <c r="A126" s="90" t="s">
        <v>795</v>
      </c>
      <c r="B126" s="90" t="s">
        <v>37</v>
      </c>
      <c r="C126" s="47">
        <f>0/C12</f>
        <v>0</v>
      </c>
      <c r="D126" s="47">
        <f>0/C13</f>
        <v>0</v>
      </c>
      <c r="E126" s="52"/>
      <c r="F126" s="47">
        <f t="shared" ref="F126:F131" si="2">(C126*$C$12+D126*$C$13)/$C$15</f>
        <v>0</v>
      </c>
    </row>
    <row r="127" spans="1:7" ht="15" customHeight="1" x14ac:dyDescent="0.25">
      <c r="A127" s="90" t="s">
        <v>796</v>
      </c>
      <c r="B127" s="90" t="s">
        <v>13</v>
      </c>
      <c r="C127" s="47">
        <f>299237155.32/C12</f>
        <v>6.1231575098327551E-2</v>
      </c>
      <c r="D127" s="47">
        <f>1142867336.57/C13</f>
        <v>0.2740895606143281</v>
      </c>
      <c r="E127" s="52"/>
      <c r="F127" s="47">
        <f t="shared" si="2"/>
        <v>0.15923137528214173</v>
      </c>
    </row>
    <row r="128" spans="1:7" ht="15" customHeight="1" x14ac:dyDescent="0.25">
      <c r="A128" s="90" t="s">
        <v>797</v>
      </c>
      <c r="B128" s="90" t="s">
        <v>2</v>
      </c>
      <c r="C128" s="47">
        <f>SUM(C129:C131)</f>
        <v>0.93876842490167256</v>
      </c>
      <c r="D128" s="47">
        <f>SUM(D129:D131)</f>
        <v>0.7259104393856719</v>
      </c>
      <c r="E128" s="52"/>
      <c r="F128" s="47">
        <f t="shared" si="2"/>
        <v>0.8407686247178584</v>
      </c>
    </row>
    <row r="129" spans="1:7" ht="15" customHeight="1" outlineLevel="1" x14ac:dyDescent="0.25">
      <c r="A129" s="90" t="s">
        <v>798</v>
      </c>
      <c r="B129" s="111" t="s">
        <v>1064</v>
      </c>
      <c r="C129" s="47">
        <f>0/C12</f>
        <v>0</v>
      </c>
      <c r="D129" s="47">
        <f>1891575121.41/C13</f>
        <v>0.45364932333465624</v>
      </c>
      <c r="E129" s="52"/>
      <c r="F129" s="47">
        <f t="shared" si="2"/>
        <v>0.2088601136224553</v>
      </c>
    </row>
    <row r="130" spans="1:7" ht="15" customHeight="1" outlineLevel="1" x14ac:dyDescent="0.25">
      <c r="A130" s="90" t="s">
        <v>799</v>
      </c>
      <c r="B130" s="111" t="s">
        <v>1067</v>
      </c>
      <c r="C130" s="47">
        <f>0/C12</f>
        <v>0</v>
      </c>
      <c r="D130" s="47">
        <f>0/C13</f>
        <v>0</v>
      </c>
      <c r="E130" s="52"/>
      <c r="F130" s="47">
        <f t="shared" si="2"/>
        <v>0</v>
      </c>
    </row>
    <row r="131" spans="1:7" ht="15" customHeight="1" outlineLevel="1" x14ac:dyDescent="0.25">
      <c r="A131" s="90" t="s">
        <v>800</v>
      </c>
      <c r="B131" s="111" t="s">
        <v>1063</v>
      </c>
      <c r="C131" s="47">
        <f>4587737495.25/C12</f>
        <v>0.93876842490167256</v>
      </c>
      <c r="D131" s="47">
        <f>1135243297.32/C13</f>
        <v>0.27226111605101561</v>
      </c>
      <c r="E131" s="52"/>
      <c r="F131" s="47">
        <f t="shared" si="2"/>
        <v>0.63190851109540302</v>
      </c>
    </row>
    <row r="132" spans="1:7" ht="15" customHeight="1" outlineLevel="1" x14ac:dyDescent="0.25">
      <c r="A132" s="90" t="s">
        <v>801</v>
      </c>
      <c r="C132" s="47"/>
      <c r="D132" s="47"/>
      <c r="E132" s="52"/>
      <c r="F132" s="47"/>
    </row>
    <row r="133" spans="1:7" ht="15" customHeight="1" outlineLevel="1" x14ac:dyDescent="0.25">
      <c r="A133" s="90" t="s">
        <v>802</v>
      </c>
      <c r="C133" s="47"/>
      <c r="D133" s="47"/>
      <c r="E133" s="52"/>
      <c r="F133" s="47"/>
    </row>
    <row r="134" spans="1:7" ht="15" customHeight="1" outlineLevel="1" x14ac:dyDescent="0.25">
      <c r="A134" s="90" t="s">
        <v>803</v>
      </c>
      <c r="C134" s="47"/>
      <c r="D134" s="47"/>
      <c r="E134" s="52"/>
      <c r="F134" s="47"/>
    </row>
    <row r="135" spans="1:7" ht="15" customHeight="1" x14ac:dyDescent="0.25">
      <c r="A135" s="58"/>
      <c r="B135" s="60" t="s">
        <v>978</v>
      </c>
      <c r="C135" s="58" t="s">
        <v>143</v>
      </c>
      <c r="D135" s="58" t="s">
        <v>144</v>
      </c>
      <c r="E135" s="46"/>
      <c r="F135" s="59" t="s">
        <v>147</v>
      </c>
      <c r="G135" s="59"/>
    </row>
    <row r="136" spans="1:7" ht="15" customHeight="1" x14ac:dyDescent="0.25">
      <c r="A136" s="90" t="s">
        <v>804</v>
      </c>
      <c r="B136" s="7" t="s">
        <v>61</v>
      </c>
      <c r="C136" s="47">
        <f>705114569.04/C12</f>
        <v>0.14428447443609266</v>
      </c>
      <c r="D136" s="47">
        <f>679948450.66/C13</f>
        <v>0.1630694710736251</v>
      </c>
      <c r="E136" s="52"/>
      <c r="F136" s="47">
        <f>(C136*C12+D136*C13)/$C$15</f>
        <v>0.15293308544530199</v>
      </c>
    </row>
    <row r="137" spans="1:7" ht="15" customHeight="1" x14ac:dyDescent="0.25">
      <c r="A137" s="90" t="s">
        <v>805</v>
      </c>
      <c r="B137" s="7" t="s">
        <v>18</v>
      </c>
      <c r="C137" s="47">
        <f>1744586797.94/C12</f>
        <v>0.3569870774215122</v>
      </c>
      <c r="D137" s="47">
        <f>744098341.22/C13</f>
        <v>0.17845429725110393</v>
      </c>
      <c r="E137" s="52"/>
      <c r="F137" s="47">
        <f>(C137*C12+D137*C13)/$C$15</f>
        <v>0.27479059914259119</v>
      </c>
    </row>
    <row r="138" spans="1:7" ht="15" customHeight="1" x14ac:dyDescent="0.25">
      <c r="A138" s="90" t="s">
        <v>806</v>
      </c>
      <c r="B138" s="7" t="s">
        <v>19</v>
      </c>
      <c r="C138" s="47">
        <f>1555674445.67/C12</f>
        <v>0.31833077863183751</v>
      </c>
      <c r="D138" s="47">
        <f>900784583.01/C13</f>
        <v>0.2160317673496214</v>
      </c>
      <c r="F138" s="47">
        <f>(C138*C12+D138*C13)/$C$15</f>
        <v>0.27123232169419392</v>
      </c>
    </row>
    <row r="139" spans="1:7" ht="15" customHeight="1" x14ac:dyDescent="0.25">
      <c r="A139" s="90" t="s">
        <v>807</v>
      </c>
      <c r="B139" s="7" t="s">
        <v>20</v>
      </c>
      <c r="C139" s="47">
        <f>841328186.79/C12</f>
        <v>0.17215726435001466</v>
      </c>
      <c r="D139" s="47">
        <f>439453098.43/C13</f>
        <v>0.10539237827968699</v>
      </c>
      <c r="F139" s="47">
        <f>(C139*C12+D139*C13)/$C$15</f>
        <v>0.14141871593086039</v>
      </c>
    </row>
    <row r="140" spans="1:7" ht="15" customHeight="1" x14ac:dyDescent="0.25">
      <c r="A140" s="90" t="s">
        <v>808</v>
      </c>
      <c r="B140" s="7" t="s">
        <v>21</v>
      </c>
      <c r="C140" s="47">
        <f>40270651.13/C12</f>
        <v>8.2404051605430313E-3</v>
      </c>
      <c r="D140" s="47">
        <f>1405401281.98/C13</f>
        <v>0.33705208604596254</v>
      </c>
      <c r="F140" s="47">
        <f>(C140*C12+D140*C13)/$C$15</f>
        <v>0.15962527778705271</v>
      </c>
    </row>
    <row r="141" spans="1:7" ht="15" hidden="1" customHeight="1" outlineLevel="1" x14ac:dyDescent="0.25">
      <c r="A141" s="90" t="s">
        <v>809</v>
      </c>
      <c r="B141" s="7"/>
      <c r="C141" s="47"/>
      <c r="D141" s="47"/>
      <c r="F141" s="47"/>
    </row>
    <row r="142" spans="1:7" ht="15" hidden="1" customHeight="1" outlineLevel="1" x14ac:dyDescent="0.25">
      <c r="A142" s="90" t="s">
        <v>810</v>
      </c>
      <c r="B142" s="7"/>
      <c r="C142" s="47"/>
      <c r="D142" s="47"/>
      <c r="F142" s="47"/>
    </row>
    <row r="143" spans="1:7" ht="15" hidden="1" customHeight="1" outlineLevel="1" x14ac:dyDescent="0.25">
      <c r="A143" s="90" t="s">
        <v>811</v>
      </c>
      <c r="B143" s="7"/>
      <c r="C143" s="47"/>
      <c r="D143" s="47"/>
      <c r="F143" s="47"/>
    </row>
    <row r="144" spans="1:7" ht="15" hidden="1" customHeight="1" outlineLevel="1" x14ac:dyDescent="0.25">
      <c r="A144" s="90" t="s">
        <v>812</v>
      </c>
      <c r="B144" s="7"/>
      <c r="C144" s="47"/>
      <c r="D144" s="47"/>
      <c r="F144" s="47"/>
    </row>
    <row r="145" spans="1:7" ht="15" customHeight="1" collapsed="1" x14ac:dyDescent="0.25">
      <c r="A145" s="58"/>
      <c r="B145" s="60" t="s">
        <v>979</v>
      </c>
      <c r="C145" s="58" t="s">
        <v>143</v>
      </c>
      <c r="D145" s="58" t="s">
        <v>144</v>
      </c>
      <c r="E145" s="46"/>
      <c r="F145" s="59" t="s">
        <v>147</v>
      </c>
      <c r="G145" s="59"/>
    </row>
    <row r="146" spans="1:7" ht="15" customHeight="1" x14ac:dyDescent="0.25">
      <c r="A146" s="90" t="s">
        <v>813</v>
      </c>
      <c r="B146" s="90" t="s">
        <v>87</v>
      </c>
      <c r="C146" s="47">
        <f>47655.45/C12</f>
        <v>9.7515238787746999E-6</v>
      </c>
      <c r="D146" s="47">
        <f>0/C13</f>
        <v>0</v>
      </c>
      <c r="E146" s="52"/>
      <c r="F146" s="47">
        <f>47655.45/(C12+C13+C14)</f>
        <v>5.261923033915737E-6</v>
      </c>
    </row>
    <row r="147" spans="1:7" ht="15" hidden="1" customHeight="1" outlineLevel="1" x14ac:dyDescent="0.25">
      <c r="A147" s="90" t="s">
        <v>814</v>
      </c>
      <c r="C147" s="47"/>
      <c r="D147" s="47"/>
      <c r="E147" s="52"/>
      <c r="F147" s="47"/>
    </row>
    <row r="148" spans="1:7" ht="15" hidden="1" customHeight="1" outlineLevel="1" x14ac:dyDescent="0.25">
      <c r="A148" s="90" t="s">
        <v>815</v>
      </c>
      <c r="C148" s="47"/>
      <c r="D148" s="47"/>
      <c r="E148" s="52"/>
      <c r="F148" s="47"/>
    </row>
    <row r="149" spans="1:7" ht="15" hidden="1" customHeight="1" outlineLevel="1" x14ac:dyDescent="0.25">
      <c r="A149" s="90" t="s">
        <v>816</v>
      </c>
      <c r="C149" s="47"/>
      <c r="D149" s="47"/>
      <c r="E149" s="52"/>
      <c r="F149" s="47"/>
    </row>
    <row r="150" spans="1:7" ht="15" hidden="1" customHeight="1" outlineLevel="1" x14ac:dyDescent="0.25">
      <c r="A150" s="90" t="s">
        <v>817</v>
      </c>
      <c r="C150" s="47"/>
      <c r="D150" s="47"/>
      <c r="E150" s="52"/>
      <c r="F150" s="47"/>
    </row>
    <row r="151" spans="1:7" ht="15" customHeight="1" collapsed="1" x14ac:dyDescent="0.25">
      <c r="A151" s="37"/>
      <c r="B151" s="40" t="s">
        <v>225</v>
      </c>
      <c r="C151" s="110"/>
      <c r="D151" s="37"/>
      <c r="E151" s="37"/>
      <c r="F151" s="38"/>
      <c r="G151" s="38"/>
    </row>
    <row r="152" spans="1:7" ht="15" customHeight="1" x14ac:dyDescent="0.25">
      <c r="A152" s="58"/>
      <c r="B152" s="60" t="s">
        <v>980</v>
      </c>
      <c r="C152" s="58" t="s">
        <v>151</v>
      </c>
      <c r="D152" s="58" t="s">
        <v>57</v>
      </c>
      <c r="E152" s="46"/>
      <c r="F152" s="58" t="s">
        <v>143</v>
      </c>
      <c r="G152" s="58" t="s">
        <v>149</v>
      </c>
    </row>
    <row r="153" spans="1:7" ht="15" customHeight="1" x14ac:dyDescent="0.25">
      <c r="A153" s="90" t="s">
        <v>818</v>
      </c>
      <c r="B153" s="86" t="s">
        <v>88</v>
      </c>
      <c r="C153" s="113">
        <f>C12/C28</f>
        <v>256399.50947376704</v>
      </c>
      <c r="D153" s="126">
        <f>C28</f>
        <v>19060</v>
      </c>
      <c r="E153" s="45"/>
      <c r="F153" s="47"/>
      <c r="G153" s="47"/>
    </row>
    <row r="154" spans="1:7" ht="15" customHeight="1" x14ac:dyDescent="0.25">
      <c r="A154" s="45"/>
      <c r="B154" s="88"/>
      <c r="C154" s="113"/>
      <c r="D154" s="45"/>
      <c r="E154" s="45"/>
      <c r="F154" s="47"/>
      <c r="G154" s="47"/>
    </row>
    <row r="155" spans="1:7" ht="15" customHeight="1" x14ac:dyDescent="0.25">
      <c r="B155" s="86" t="s">
        <v>152</v>
      </c>
      <c r="C155" s="113"/>
      <c r="D155" s="45"/>
      <c r="E155" s="45"/>
      <c r="F155" s="47"/>
      <c r="G155" s="47"/>
    </row>
    <row r="156" spans="1:7" ht="15" customHeight="1" x14ac:dyDescent="0.25">
      <c r="A156" s="90" t="s">
        <v>819</v>
      </c>
      <c r="B156" s="86" t="s">
        <v>1051</v>
      </c>
      <c r="C156" s="113">
        <v>1582986333.1900001</v>
      </c>
      <c r="D156" s="90">
        <v>10907</v>
      </c>
      <c r="E156" s="45"/>
      <c r="F156" s="47">
        <f t="shared" ref="F156:F166" si="3">IF($C$167=0,"",IF(C156="[for completion]","",C156/$C$167))</f>
        <v>0.32391948933178238</v>
      </c>
      <c r="G156" s="47">
        <f t="shared" ref="G156:G166" si="4">IF($D$167=0,"",IF(D156="[for completion]","",D156/$D$167))</f>
        <v>0.57224554039874087</v>
      </c>
    </row>
    <row r="157" spans="1:7" ht="15" customHeight="1" x14ac:dyDescent="0.25">
      <c r="A157" s="90" t="s">
        <v>820</v>
      </c>
      <c r="B157" s="86" t="s">
        <v>1053</v>
      </c>
      <c r="C157" s="113">
        <v>2294189825.54</v>
      </c>
      <c r="D157" s="90">
        <v>6653</v>
      </c>
      <c r="E157" s="45"/>
      <c r="F157" s="47">
        <f t="shared" si="3"/>
        <v>0.46944991320395196</v>
      </c>
      <c r="G157" s="47">
        <f t="shared" si="4"/>
        <v>0.34905561385099687</v>
      </c>
    </row>
    <row r="158" spans="1:7" ht="15" customHeight="1" x14ac:dyDescent="0.25">
      <c r="A158" s="90" t="s">
        <v>821</v>
      </c>
      <c r="B158" s="86" t="s">
        <v>1052</v>
      </c>
      <c r="C158" s="113">
        <v>875387344.75999999</v>
      </c>
      <c r="D158" s="90">
        <v>1400</v>
      </c>
      <c r="E158" s="45"/>
      <c r="F158" s="47">
        <f t="shared" si="3"/>
        <v>0.17912663914839375</v>
      </c>
      <c r="G158" s="47">
        <f t="shared" si="4"/>
        <v>7.3452256033578175E-2</v>
      </c>
    </row>
    <row r="159" spans="1:7" ht="15" customHeight="1" x14ac:dyDescent="0.25">
      <c r="A159" s="90" t="s">
        <v>822</v>
      </c>
      <c r="B159" s="86" t="s">
        <v>1054</v>
      </c>
      <c r="C159" s="113">
        <v>134411147.08000001</v>
      </c>
      <c r="D159" s="90">
        <v>100</v>
      </c>
      <c r="E159" s="45"/>
      <c r="F159" s="47">
        <f t="shared" si="3"/>
        <v>2.7503958315871921E-2</v>
      </c>
      <c r="G159" s="47">
        <f t="shared" si="4"/>
        <v>5.246589716684155E-3</v>
      </c>
    </row>
    <row r="160" spans="1:7" ht="15" customHeight="1" x14ac:dyDescent="0.25">
      <c r="A160" s="90" t="s">
        <v>823</v>
      </c>
      <c r="B160" s="86" t="s">
        <v>1055</v>
      </c>
      <c r="C160" s="113">
        <v>0</v>
      </c>
      <c r="D160" s="90">
        <v>0</v>
      </c>
      <c r="E160" s="45"/>
      <c r="F160" s="47">
        <f t="shared" si="3"/>
        <v>0</v>
      </c>
      <c r="G160" s="47">
        <f t="shared" si="4"/>
        <v>0</v>
      </c>
    </row>
    <row r="161" spans="1:7" ht="15" customHeight="1" x14ac:dyDescent="0.25">
      <c r="A161" s="90" t="s">
        <v>824</v>
      </c>
      <c r="B161" s="86" t="s">
        <v>1056</v>
      </c>
      <c r="C161" s="113">
        <v>0</v>
      </c>
      <c r="D161" s="90">
        <v>0</v>
      </c>
      <c r="E161" s="45"/>
      <c r="F161" s="47">
        <f t="shared" si="3"/>
        <v>0</v>
      </c>
      <c r="G161" s="47">
        <f t="shared" si="4"/>
        <v>0</v>
      </c>
    </row>
    <row r="162" spans="1:7" ht="15" customHeight="1" x14ac:dyDescent="0.25">
      <c r="A162" s="90" t="s">
        <v>825</v>
      </c>
      <c r="B162" s="86" t="s">
        <v>1057</v>
      </c>
      <c r="C162" s="113">
        <v>0</v>
      </c>
      <c r="D162" s="90">
        <v>0</v>
      </c>
      <c r="E162" s="45"/>
      <c r="F162" s="47">
        <f t="shared" si="3"/>
        <v>0</v>
      </c>
      <c r="G162" s="47">
        <f t="shared" si="4"/>
        <v>0</v>
      </c>
    </row>
    <row r="163" spans="1:7" ht="15" customHeight="1" x14ac:dyDescent="0.25">
      <c r="A163" s="90" t="s">
        <v>826</v>
      </c>
      <c r="B163" s="86" t="s">
        <v>1058</v>
      </c>
      <c r="C163" s="113">
        <v>0</v>
      </c>
      <c r="D163" s="90">
        <v>0</v>
      </c>
      <c r="E163" s="45"/>
      <c r="F163" s="47">
        <f t="shared" si="3"/>
        <v>0</v>
      </c>
      <c r="G163" s="47">
        <f t="shared" si="4"/>
        <v>0</v>
      </c>
    </row>
    <row r="164" spans="1:7" ht="15" customHeight="1" x14ac:dyDescent="0.25">
      <c r="A164" s="90" t="s">
        <v>827</v>
      </c>
      <c r="B164" s="86" t="s">
        <v>1059</v>
      </c>
      <c r="C164" s="113">
        <v>0</v>
      </c>
      <c r="D164" s="90">
        <v>0</v>
      </c>
      <c r="E164" s="45"/>
      <c r="F164" s="47">
        <f t="shared" si="3"/>
        <v>0</v>
      </c>
      <c r="G164" s="47">
        <f t="shared" si="4"/>
        <v>0</v>
      </c>
    </row>
    <row r="165" spans="1:7" ht="15" customHeight="1" x14ac:dyDescent="0.25">
      <c r="A165" s="90" t="s">
        <v>828</v>
      </c>
      <c r="B165" s="86" t="s">
        <v>1060</v>
      </c>
      <c r="C165" s="113">
        <v>0</v>
      </c>
      <c r="D165" s="90">
        <v>0</v>
      </c>
      <c r="E165" s="86"/>
      <c r="F165" s="47">
        <f t="shared" si="3"/>
        <v>0</v>
      </c>
      <c r="G165" s="47">
        <f t="shared" si="4"/>
        <v>0</v>
      </c>
    </row>
    <row r="166" spans="1:7" ht="15" customHeight="1" x14ac:dyDescent="0.25">
      <c r="A166" s="90" t="s">
        <v>829</v>
      </c>
      <c r="B166" s="86" t="s">
        <v>1061</v>
      </c>
      <c r="C166" s="113">
        <v>0</v>
      </c>
      <c r="D166" s="90">
        <v>0</v>
      </c>
      <c r="E166" s="86"/>
      <c r="F166" s="47">
        <f t="shared" si="3"/>
        <v>0</v>
      </c>
      <c r="G166" s="47">
        <f t="shared" si="4"/>
        <v>0</v>
      </c>
    </row>
    <row r="167" spans="1:7" ht="15" customHeight="1" x14ac:dyDescent="0.25">
      <c r="A167" s="90" t="s">
        <v>830</v>
      </c>
      <c r="B167" s="56" t="s">
        <v>1</v>
      </c>
      <c r="C167" s="117">
        <f>SUM(C156:C166)</f>
        <v>4886974650.5699997</v>
      </c>
      <c r="D167" s="86">
        <f>SUM(D156:D166)</f>
        <v>19060</v>
      </c>
      <c r="E167" s="57"/>
      <c r="F167" s="47">
        <f>SUM(F156:F166)</f>
        <v>1</v>
      </c>
      <c r="G167" s="47">
        <f>SUM(G156:G166)</f>
        <v>1.0000000000000002</v>
      </c>
    </row>
    <row r="168" spans="1:7" ht="15" customHeight="1" x14ac:dyDescent="0.25">
      <c r="A168" s="58"/>
      <c r="B168" s="60" t="s">
        <v>981</v>
      </c>
      <c r="C168" s="58" t="s">
        <v>151</v>
      </c>
      <c r="D168" s="58" t="s">
        <v>57</v>
      </c>
      <c r="E168" s="46"/>
      <c r="F168" s="58" t="s">
        <v>143</v>
      </c>
      <c r="G168" s="58" t="s">
        <v>149</v>
      </c>
    </row>
    <row r="169" spans="1:7" ht="15" customHeight="1" x14ac:dyDescent="0.25">
      <c r="A169" s="90" t="s">
        <v>831</v>
      </c>
      <c r="B169" s="90" t="s">
        <v>136</v>
      </c>
      <c r="C169" s="119">
        <v>78.157781378772839</v>
      </c>
      <c r="F169" s="47"/>
      <c r="G169" s="47"/>
    </row>
    <row r="170" spans="1:7" ht="15" customHeight="1" x14ac:dyDescent="0.25">
      <c r="C170" s="113"/>
      <c r="F170" s="47"/>
      <c r="G170" s="47"/>
    </row>
    <row r="171" spans="1:7" ht="15" customHeight="1" x14ac:dyDescent="0.25">
      <c r="B171" s="86" t="s">
        <v>246</v>
      </c>
      <c r="C171" s="113"/>
      <c r="F171" s="47"/>
      <c r="G171" s="47"/>
    </row>
    <row r="172" spans="1:7" ht="15" customHeight="1" x14ac:dyDescent="0.25">
      <c r="A172" s="90" t="s">
        <v>832</v>
      </c>
      <c r="B172" s="90" t="s">
        <v>168</v>
      </c>
      <c r="C172" s="113">
        <v>302966274.26999998</v>
      </c>
      <c r="D172" s="90">
        <v>2848</v>
      </c>
      <c r="F172" s="47">
        <f t="shared" ref="F172:F179" si="5">IF($C$180=0,"",IF(C172="[for completion]","",C172/$C$180))</f>
        <v>6.1994648209329886E-2</v>
      </c>
      <c r="G172" s="47">
        <f t="shared" ref="G172:G179" si="6">IF($D$180=0,"",IF(D172="[for completion]","",D172/$D$180))</f>
        <v>0.14957197626175095</v>
      </c>
    </row>
    <row r="173" spans="1:7" ht="15" customHeight="1" x14ac:dyDescent="0.25">
      <c r="A173" s="90" t="s">
        <v>833</v>
      </c>
      <c r="B173" s="90" t="s">
        <v>170</v>
      </c>
      <c r="C173" s="113">
        <v>232611435.47</v>
      </c>
      <c r="D173" s="90">
        <v>1264</v>
      </c>
      <c r="F173" s="47">
        <f t="shared" si="5"/>
        <v>4.7598248835374869E-2</v>
      </c>
      <c r="G173" s="47">
        <f t="shared" si="6"/>
        <v>6.6383068116170368E-2</v>
      </c>
    </row>
    <row r="174" spans="1:7" ht="15" customHeight="1" x14ac:dyDescent="0.25">
      <c r="A174" s="90" t="s">
        <v>834</v>
      </c>
      <c r="B174" s="90" t="s">
        <v>171</v>
      </c>
      <c r="C174" s="113">
        <v>307170387.52999997</v>
      </c>
      <c r="D174" s="90">
        <v>1394</v>
      </c>
      <c r="F174" s="47">
        <f t="shared" si="5"/>
        <v>6.2854917304343436E-2</v>
      </c>
      <c r="G174" s="47">
        <f t="shared" si="6"/>
        <v>7.3210440628118267E-2</v>
      </c>
    </row>
    <row r="175" spans="1:7" ht="15" customHeight="1" x14ac:dyDescent="0.25">
      <c r="A175" s="90" t="s">
        <v>835</v>
      </c>
      <c r="B175" s="90" t="s">
        <v>172</v>
      </c>
      <c r="C175" s="113">
        <v>416956193.56999999</v>
      </c>
      <c r="D175" s="90">
        <v>1636</v>
      </c>
      <c r="F175" s="47">
        <f t="shared" si="5"/>
        <v>8.5319901039668314E-2</v>
      </c>
      <c r="G175" s="47">
        <f t="shared" si="6"/>
        <v>8.5919857150359755E-2</v>
      </c>
    </row>
    <row r="176" spans="1:7" ht="15" customHeight="1" x14ac:dyDescent="0.25">
      <c r="A176" s="90" t="s">
        <v>836</v>
      </c>
      <c r="B176" s="90" t="s">
        <v>173</v>
      </c>
      <c r="C176" s="113">
        <v>636315859.32000005</v>
      </c>
      <c r="D176" s="90">
        <v>2196</v>
      </c>
      <c r="F176" s="47">
        <f t="shared" si="5"/>
        <v>0.13020649887058089</v>
      </c>
      <c r="G176" s="47">
        <f t="shared" si="6"/>
        <v>0.11533007720182764</v>
      </c>
    </row>
    <row r="177" spans="1:7" ht="15" customHeight="1" x14ac:dyDescent="0.25">
      <c r="A177" s="90" t="s">
        <v>837</v>
      </c>
      <c r="B177" s="90" t="s">
        <v>174</v>
      </c>
      <c r="C177" s="113">
        <v>1225875986.76</v>
      </c>
      <c r="D177" s="90">
        <v>4119</v>
      </c>
      <c r="F177" s="47">
        <f t="shared" si="5"/>
        <v>0.25084557920041967</v>
      </c>
      <c r="G177" s="47">
        <f t="shared" si="6"/>
        <v>0.21632267212856468</v>
      </c>
    </row>
    <row r="178" spans="1:7" ht="15" customHeight="1" x14ac:dyDescent="0.25">
      <c r="A178" s="90" t="s">
        <v>838</v>
      </c>
      <c r="B178" s="90" t="s">
        <v>175</v>
      </c>
      <c r="C178" s="113">
        <v>1765078513.6500001</v>
      </c>
      <c r="D178" s="90">
        <v>5584</v>
      </c>
      <c r="F178" s="47">
        <f t="shared" si="5"/>
        <v>0.36118020654028304</v>
      </c>
      <c r="G178" s="47">
        <f t="shared" si="6"/>
        <v>0.29326190851320832</v>
      </c>
    </row>
    <row r="179" spans="1:7" ht="15" customHeight="1" x14ac:dyDescent="0.25">
      <c r="A179" s="90" t="s">
        <v>839</v>
      </c>
      <c r="B179" s="90" t="s">
        <v>169</v>
      </c>
      <c r="C179" s="113">
        <f>SUM(C181:C186)</f>
        <v>0</v>
      </c>
      <c r="D179" s="90">
        <f>SUM(D181:D186)</f>
        <v>0</v>
      </c>
      <c r="F179" s="47">
        <f t="shared" si="5"/>
        <v>0</v>
      </c>
      <c r="G179" s="47">
        <f t="shared" si="6"/>
        <v>0</v>
      </c>
    </row>
    <row r="180" spans="1:7" ht="15" customHeight="1" x14ac:dyDescent="0.25">
      <c r="A180" s="90" t="s">
        <v>840</v>
      </c>
      <c r="B180" s="56" t="s">
        <v>1</v>
      </c>
      <c r="C180" s="113">
        <f>SUM(C172:C179)</f>
        <v>4886974650.5699997</v>
      </c>
      <c r="D180" s="90">
        <f>SUM(D172:D179)</f>
        <v>19041</v>
      </c>
      <c r="F180" s="47">
        <f>SUM(F172:F179)</f>
        <v>1</v>
      </c>
      <c r="G180" s="47">
        <f>SUM(G172:G179)</f>
        <v>1</v>
      </c>
    </row>
    <row r="181" spans="1:7" ht="15" hidden="1" customHeight="1" outlineLevel="1" x14ac:dyDescent="0.25">
      <c r="A181" s="90" t="s">
        <v>841</v>
      </c>
      <c r="B181" s="67" t="s">
        <v>176</v>
      </c>
      <c r="C181" s="113">
        <v>0</v>
      </c>
      <c r="D181" s="90">
        <v>0</v>
      </c>
      <c r="F181" s="47">
        <f t="shared" ref="F181:F186" si="7">IF($C$180=0,"",IF(C181="[for completion]","",C181/$C$180))</f>
        <v>0</v>
      </c>
      <c r="G181" s="47">
        <f t="shared" ref="G181:G186" si="8">IF($D$180=0,"",IF(D181="[for completion]","",D181/$D$180))</f>
        <v>0</v>
      </c>
    </row>
    <row r="182" spans="1:7" ht="15" hidden="1" customHeight="1" outlineLevel="1" x14ac:dyDescent="0.25">
      <c r="A182" s="90" t="s">
        <v>842</v>
      </c>
      <c r="B182" s="67" t="s">
        <v>177</v>
      </c>
      <c r="C182" s="113">
        <v>0</v>
      </c>
      <c r="D182" s="90">
        <v>0</v>
      </c>
      <c r="F182" s="47">
        <f t="shared" si="7"/>
        <v>0</v>
      </c>
      <c r="G182" s="47">
        <f t="shared" si="8"/>
        <v>0</v>
      </c>
    </row>
    <row r="183" spans="1:7" ht="15" hidden="1" customHeight="1" outlineLevel="1" x14ac:dyDescent="0.25">
      <c r="A183" s="90" t="s">
        <v>843</v>
      </c>
      <c r="B183" s="67" t="s">
        <v>178</v>
      </c>
      <c r="C183" s="113">
        <v>0</v>
      </c>
      <c r="D183" s="90">
        <v>0</v>
      </c>
      <c r="F183" s="47">
        <f t="shared" si="7"/>
        <v>0</v>
      </c>
      <c r="G183" s="47">
        <f t="shared" si="8"/>
        <v>0</v>
      </c>
    </row>
    <row r="184" spans="1:7" ht="15" hidden="1" customHeight="1" outlineLevel="1" x14ac:dyDescent="0.25">
      <c r="A184" s="90" t="s">
        <v>844</v>
      </c>
      <c r="B184" s="67" t="s">
        <v>179</v>
      </c>
      <c r="C184" s="113">
        <v>0</v>
      </c>
      <c r="D184" s="90">
        <v>0</v>
      </c>
      <c r="F184" s="47">
        <f t="shared" si="7"/>
        <v>0</v>
      </c>
      <c r="G184" s="47">
        <f t="shared" si="8"/>
        <v>0</v>
      </c>
    </row>
    <row r="185" spans="1:7" ht="15" hidden="1" customHeight="1" outlineLevel="1" x14ac:dyDescent="0.25">
      <c r="A185" s="90" t="s">
        <v>845</v>
      </c>
      <c r="B185" s="67" t="s">
        <v>180</v>
      </c>
      <c r="C185" s="113">
        <v>0</v>
      </c>
      <c r="D185" s="90">
        <v>0</v>
      </c>
      <c r="F185" s="47">
        <f t="shared" si="7"/>
        <v>0</v>
      </c>
      <c r="G185" s="47">
        <f t="shared" si="8"/>
        <v>0</v>
      </c>
    </row>
    <row r="186" spans="1:7" ht="15" hidden="1" customHeight="1" outlineLevel="1" x14ac:dyDescent="0.25">
      <c r="A186" s="90" t="s">
        <v>846</v>
      </c>
      <c r="B186" s="67" t="s">
        <v>181</v>
      </c>
      <c r="C186" s="113">
        <v>0</v>
      </c>
      <c r="D186" s="90">
        <v>0</v>
      </c>
      <c r="F186" s="47">
        <f t="shared" si="7"/>
        <v>0</v>
      </c>
      <c r="G186" s="47">
        <f t="shared" si="8"/>
        <v>0</v>
      </c>
    </row>
    <row r="187" spans="1:7" ht="15" hidden="1" customHeight="1" outlineLevel="1" x14ac:dyDescent="0.25">
      <c r="A187" s="90" t="s">
        <v>847</v>
      </c>
      <c r="B187" s="67"/>
      <c r="C187" s="113"/>
      <c r="F187" s="47"/>
      <c r="G187" s="47"/>
    </row>
    <row r="188" spans="1:7" ht="15" hidden="1" customHeight="1" outlineLevel="1" x14ac:dyDescent="0.25">
      <c r="A188" s="90" t="s">
        <v>848</v>
      </c>
      <c r="B188" s="67"/>
      <c r="C188" s="113"/>
      <c r="F188" s="47"/>
      <c r="G188" s="47"/>
    </row>
    <row r="189" spans="1:7" ht="15" hidden="1" customHeight="1" outlineLevel="1" x14ac:dyDescent="0.25">
      <c r="A189" s="90" t="s">
        <v>849</v>
      </c>
      <c r="B189" s="67"/>
      <c r="C189" s="113"/>
      <c r="F189" s="47"/>
      <c r="G189" s="47"/>
    </row>
    <row r="190" spans="1:7" ht="15" customHeight="1" collapsed="1" x14ac:dyDescent="0.25">
      <c r="A190" s="58"/>
      <c r="B190" s="60" t="s">
        <v>982</v>
      </c>
      <c r="C190" s="58" t="s">
        <v>151</v>
      </c>
      <c r="D190" s="58" t="s">
        <v>57</v>
      </c>
      <c r="E190" s="46"/>
      <c r="F190" s="58" t="s">
        <v>143</v>
      </c>
      <c r="G190" s="58" t="s">
        <v>149</v>
      </c>
    </row>
    <row r="191" spans="1:7" ht="15" customHeight="1" x14ac:dyDescent="0.25">
      <c r="A191" s="90" t="s">
        <v>850</v>
      </c>
      <c r="B191" s="90" t="s">
        <v>136</v>
      </c>
      <c r="C191" s="113" t="s">
        <v>185</v>
      </c>
      <c r="F191" s="47"/>
      <c r="G191" s="47"/>
    </row>
    <row r="192" spans="1:7" ht="15" customHeight="1" x14ac:dyDescent="0.25">
      <c r="C192" s="113"/>
      <c r="F192" s="47"/>
      <c r="G192" s="47"/>
    </row>
    <row r="193" spans="1:7" ht="15" customHeight="1" x14ac:dyDescent="0.25">
      <c r="B193" s="86" t="s">
        <v>246</v>
      </c>
      <c r="C193" s="113"/>
      <c r="F193" s="47"/>
      <c r="G193" s="47"/>
    </row>
    <row r="194" spans="1:7" ht="15" customHeight="1" x14ac:dyDescent="0.25">
      <c r="A194" s="90" t="s">
        <v>851</v>
      </c>
      <c r="B194" s="90" t="s">
        <v>168</v>
      </c>
      <c r="C194" s="113" t="s">
        <v>185</v>
      </c>
      <c r="D194" s="113" t="s">
        <v>185</v>
      </c>
      <c r="F194" s="47" t="str">
        <f t="shared" ref="F194:F201" si="9">IF($C$202=0,"",IF(C194="[Mark as ND1 if not relevant]","",C194/$C$202))</f>
        <v/>
      </c>
      <c r="G194" s="47" t="str">
        <f t="shared" ref="G194:G201" si="10">IF($D$202=0,"",IF(D194="[Mark as ND1 if not relevant]","",D194/$D$202))</f>
        <v/>
      </c>
    </row>
    <row r="195" spans="1:7" ht="15" customHeight="1" x14ac:dyDescent="0.25">
      <c r="A195" s="90" t="s">
        <v>852</v>
      </c>
      <c r="B195" s="90" t="s">
        <v>170</v>
      </c>
      <c r="C195" s="113" t="s">
        <v>185</v>
      </c>
      <c r="D195" s="113" t="s">
        <v>185</v>
      </c>
      <c r="F195" s="47" t="str">
        <f t="shared" si="9"/>
        <v/>
      </c>
      <c r="G195" s="47" t="str">
        <f t="shared" si="10"/>
        <v/>
      </c>
    </row>
    <row r="196" spans="1:7" ht="15" customHeight="1" x14ac:dyDescent="0.25">
      <c r="A196" s="90" t="s">
        <v>853</v>
      </c>
      <c r="B196" s="90" t="s">
        <v>171</v>
      </c>
      <c r="C196" s="113" t="s">
        <v>185</v>
      </c>
      <c r="D196" s="113" t="s">
        <v>185</v>
      </c>
      <c r="F196" s="47" t="str">
        <f t="shared" si="9"/>
        <v/>
      </c>
      <c r="G196" s="47" t="str">
        <f t="shared" si="10"/>
        <v/>
      </c>
    </row>
    <row r="197" spans="1:7" ht="15" customHeight="1" x14ac:dyDescent="0.25">
      <c r="A197" s="90" t="s">
        <v>854</v>
      </c>
      <c r="B197" s="90" t="s">
        <v>172</v>
      </c>
      <c r="C197" s="113" t="s">
        <v>185</v>
      </c>
      <c r="D197" s="113" t="s">
        <v>185</v>
      </c>
      <c r="F197" s="47" t="str">
        <f t="shared" si="9"/>
        <v/>
      </c>
      <c r="G197" s="47" t="str">
        <f t="shared" si="10"/>
        <v/>
      </c>
    </row>
    <row r="198" spans="1:7" ht="15" customHeight="1" x14ac:dyDescent="0.25">
      <c r="A198" s="90" t="s">
        <v>855</v>
      </c>
      <c r="B198" s="90" t="s">
        <v>173</v>
      </c>
      <c r="C198" s="113" t="s">
        <v>185</v>
      </c>
      <c r="D198" s="113" t="s">
        <v>185</v>
      </c>
      <c r="F198" s="47" t="str">
        <f t="shared" si="9"/>
        <v/>
      </c>
      <c r="G198" s="47" t="str">
        <f t="shared" si="10"/>
        <v/>
      </c>
    </row>
    <row r="199" spans="1:7" ht="15" customHeight="1" x14ac:dyDescent="0.25">
      <c r="A199" s="90" t="s">
        <v>856</v>
      </c>
      <c r="B199" s="90" t="s">
        <v>174</v>
      </c>
      <c r="C199" s="113" t="s">
        <v>185</v>
      </c>
      <c r="D199" s="113" t="s">
        <v>185</v>
      </c>
      <c r="F199" s="47" t="str">
        <f t="shared" si="9"/>
        <v/>
      </c>
      <c r="G199" s="47" t="str">
        <f t="shared" si="10"/>
        <v/>
      </c>
    </row>
    <row r="200" spans="1:7" ht="15" customHeight="1" x14ac:dyDescent="0.25">
      <c r="A200" s="90" t="s">
        <v>857</v>
      </c>
      <c r="B200" s="90" t="s">
        <v>175</v>
      </c>
      <c r="C200" s="113" t="s">
        <v>185</v>
      </c>
      <c r="D200" s="113" t="s">
        <v>185</v>
      </c>
      <c r="F200" s="47" t="str">
        <f t="shared" si="9"/>
        <v/>
      </c>
      <c r="G200" s="47" t="str">
        <f t="shared" si="10"/>
        <v/>
      </c>
    </row>
    <row r="201" spans="1:7" ht="15" customHeight="1" x14ac:dyDescent="0.25">
      <c r="A201" s="90" t="s">
        <v>858</v>
      </c>
      <c r="B201" s="90" t="s">
        <v>169</v>
      </c>
      <c r="C201" s="113" t="s">
        <v>185</v>
      </c>
      <c r="D201" s="113" t="s">
        <v>185</v>
      </c>
      <c r="F201" s="47" t="str">
        <f t="shared" si="9"/>
        <v/>
      </c>
      <c r="G201" s="47" t="str">
        <f t="shared" si="10"/>
        <v/>
      </c>
    </row>
    <row r="202" spans="1:7" ht="15" customHeight="1" x14ac:dyDescent="0.25">
      <c r="A202" s="90" t="s">
        <v>859</v>
      </c>
      <c r="B202" s="56" t="s">
        <v>1</v>
      </c>
      <c r="C202" s="113">
        <f>SUM(C194:C201)</f>
        <v>0</v>
      </c>
      <c r="D202" s="90">
        <f>SUM(D194:D201)</f>
        <v>0</v>
      </c>
      <c r="F202" s="47">
        <f>SUM(F194:F201)</f>
        <v>0</v>
      </c>
      <c r="G202" s="47">
        <f>SUM(G194:G201)</f>
        <v>0</v>
      </c>
    </row>
    <row r="203" spans="1:7" ht="15" hidden="1" customHeight="1" outlineLevel="1" x14ac:dyDescent="0.25">
      <c r="A203" s="90" t="s">
        <v>860</v>
      </c>
      <c r="B203" s="67" t="s">
        <v>176</v>
      </c>
      <c r="C203" s="113"/>
      <c r="F203" s="47" t="str">
        <f t="shared" ref="F203:F208" si="11">IF($C$202=0,"",IF(C203="[for completion]","",C203/$C$202))</f>
        <v/>
      </c>
      <c r="G203" s="47">
        <f>0</f>
        <v>0</v>
      </c>
    </row>
    <row r="204" spans="1:7" ht="15" hidden="1" customHeight="1" outlineLevel="1" x14ac:dyDescent="0.25">
      <c r="A204" s="90" t="s">
        <v>861</v>
      </c>
      <c r="B204" s="67" t="s">
        <v>177</v>
      </c>
      <c r="C204" s="113"/>
      <c r="F204" s="47" t="str">
        <f t="shared" si="11"/>
        <v/>
      </c>
      <c r="G204" s="47">
        <f>0</f>
        <v>0</v>
      </c>
    </row>
    <row r="205" spans="1:7" ht="15" hidden="1" customHeight="1" outlineLevel="1" x14ac:dyDescent="0.25">
      <c r="A205" s="90" t="s">
        <v>862</v>
      </c>
      <c r="B205" s="67" t="s">
        <v>178</v>
      </c>
      <c r="C205" s="113"/>
      <c r="F205" s="47" t="str">
        <f t="shared" si="11"/>
        <v/>
      </c>
      <c r="G205" s="47">
        <f>0</f>
        <v>0</v>
      </c>
    </row>
    <row r="206" spans="1:7" ht="15" hidden="1" customHeight="1" outlineLevel="1" x14ac:dyDescent="0.25">
      <c r="A206" s="90" t="s">
        <v>863</v>
      </c>
      <c r="B206" s="67" t="s">
        <v>179</v>
      </c>
      <c r="C206" s="113"/>
      <c r="F206" s="47" t="str">
        <f t="shared" si="11"/>
        <v/>
      </c>
      <c r="G206" s="47">
        <f>0</f>
        <v>0</v>
      </c>
    </row>
    <row r="207" spans="1:7" ht="15" hidden="1" customHeight="1" outlineLevel="1" x14ac:dyDescent="0.25">
      <c r="A207" s="90" t="s">
        <v>864</v>
      </c>
      <c r="B207" s="67" t="s">
        <v>180</v>
      </c>
      <c r="C207" s="113"/>
      <c r="F207" s="47" t="str">
        <f t="shared" si="11"/>
        <v/>
      </c>
      <c r="G207" s="47">
        <f>0</f>
        <v>0</v>
      </c>
    </row>
    <row r="208" spans="1:7" ht="15" hidden="1" customHeight="1" outlineLevel="1" x14ac:dyDescent="0.25">
      <c r="A208" s="90" t="s">
        <v>865</v>
      </c>
      <c r="B208" s="67" t="s">
        <v>181</v>
      </c>
      <c r="C208" s="113"/>
      <c r="F208" s="47" t="str">
        <f t="shared" si="11"/>
        <v/>
      </c>
      <c r="G208" s="47">
        <f>0</f>
        <v>0</v>
      </c>
    </row>
    <row r="209" spans="1:7" ht="15" hidden="1" customHeight="1" outlineLevel="1" x14ac:dyDescent="0.25">
      <c r="A209" s="90" t="s">
        <v>866</v>
      </c>
      <c r="B209" s="67"/>
      <c r="C209" s="113"/>
      <c r="F209" s="47"/>
      <c r="G209" s="47"/>
    </row>
    <row r="210" spans="1:7" ht="15" hidden="1" customHeight="1" outlineLevel="1" x14ac:dyDescent="0.25">
      <c r="A210" s="90" t="s">
        <v>867</v>
      </c>
      <c r="B210" s="67"/>
      <c r="C210" s="113"/>
      <c r="F210" s="47"/>
      <c r="G210" s="47"/>
    </row>
    <row r="211" spans="1:7" ht="15" hidden="1" customHeight="1" outlineLevel="1" x14ac:dyDescent="0.25">
      <c r="A211" s="90" t="s">
        <v>868</v>
      </c>
      <c r="B211" s="67"/>
      <c r="C211" s="113"/>
      <c r="F211" s="47"/>
      <c r="G211" s="47"/>
    </row>
    <row r="212" spans="1:7" ht="15" customHeight="1" collapsed="1" x14ac:dyDescent="0.25">
      <c r="A212" s="58"/>
      <c r="B212" s="60" t="s">
        <v>983</v>
      </c>
      <c r="C212" s="58" t="s">
        <v>143</v>
      </c>
      <c r="D212" s="58"/>
      <c r="E212" s="46"/>
      <c r="F212" s="58"/>
      <c r="G212" s="58"/>
    </row>
    <row r="213" spans="1:7" ht="15" customHeight="1" x14ac:dyDescent="0.25">
      <c r="A213" s="90" t="s">
        <v>869</v>
      </c>
      <c r="B213" s="90" t="s">
        <v>12</v>
      </c>
      <c r="C213" s="47">
        <v>1</v>
      </c>
      <c r="E213" s="57"/>
      <c r="F213" s="57"/>
      <c r="G213" s="57"/>
    </row>
    <row r="214" spans="1:7" ht="15" customHeight="1" x14ac:dyDescent="0.25">
      <c r="A214" s="90" t="s">
        <v>870</v>
      </c>
      <c r="B214" s="90" t="s">
        <v>139</v>
      </c>
      <c r="C214" s="47">
        <v>0</v>
      </c>
      <c r="E214" s="57"/>
      <c r="F214" s="57"/>
    </row>
    <row r="215" spans="1:7" ht="15" customHeight="1" x14ac:dyDescent="0.25">
      <c r="A215" s="90" t="s">
        <v>871</v>
      </c>
      <c r="B215" s="90" t="s">
        <v>1032</v>
      </c>
      <c r="C215" s="47">
        <v>0</v>
      </c>
      <c r="E215" s="57"/>
      <c r="F215" s="57"/>
    </row>
    <row r="216" spans="1:7" ht="15" customHeight="1" x14ac:dyDescent="0.25">
      <c r="A216" s="90" t="s">
        <v>872</v>
      </c>
      <c r="B216" s="90" t="s">
        <v>2</v>
      </c>
      <c r="C216" s="47">
        <v>0</v>
      </c>
      <c r="E216" s="57"/>
      <c r="F216" s="57"/>
    </row>
    <row r="217" spans="1:7" ht="15" hidden="1" customHeight="1" outlineLevel="1" x14ac:dyDescent="0.25">
      <c r="A217" s="90" t="s">
        <v>873</v>
      </c>
      <c r="B217" s="67" t="s">
        <v>156</v>
      </c>
      <c r="C217" s="47"/>
      <c r="E217" s="57"/>
      <c r="F217" s="57"/>
    </row>
    <row r="218" spans="1:7" ht="15" hidden="1" customHeight="1" outlineLevel="1" x14ac:dyDescent="0.25">
      <c r="A218" s="90" t="s">
        <v>874</v>
      </c>
      <c r="B218" s="67" t="s">
        <v>157</v>
      </c>
      <c r="C218" s="47"/>
      <c r="E218" s="57"/>
      <c r="F218" s="57"/>
    </row>
    <row r="219" spans="1:7" ht="15" hidden="1" customHeight="1" outlineLevel="1" x14ac:dyDescent="0.25">
      <c r="A219" s="90" t="s">
        <v>875</v>
      </c>
      <c r="B219" s="67" t="s">
        <v>206</v>
      </c>
      <c r="C219" s="47"/>
      <c r="E219" s="57"/>
      <c r="F219" s="57"/>
    </row>
    <row r="220" spans="1:7" ht="15" hidden="1" customHeight="1" outlineLevel="1" x14ac:dyDescent="0.25">
      <c r="A220" s="90" t="s">
        <v>876</v>
      </c>
      <c r="B220" s="67" t="s">
        <v>207</v>
      </c>
      <c r="C220" s="47"/>
      <c r="E220" s="57"/>
      <c r="F220" s="57"/>
    </row>
    <row r="221" spans="1:7" ht="15" hidden="1" customHeight="1" outlineLevel="1" x14ac:dyDescent="0.25">
      <c r="A221" s="90" t="s">
        <v>877</v>
      </c>
      <c r="B221" s="67" t="s">
        <v>208</v>
      </c>
      <c r="C221" s="47"/>
      <c r="E221" s="57"/>
      <c r="F221" s="57"/>
    </row>
    <row r="222" spans="1:7" ht="15" hidden="1" customHeight="1" outlineLevel="1" x14ac:dyDescent="0.25">
      <c r="A222" s="90" t="s">
        <v>878</v>
      </c>
      <c r="B222" s="67" t="s">
        <v>154</v>
      </c>
      <c r="C222" s="47"/>
      <c r="E222" s="57"/>
      <c r="F222" s="57"/>
    </row>
    <row r="223" spans="1:7" ht="15" hidden="1" customHeight="1" outlineLevel="1" x14ac:dyDescent="0.25">
      <c r="A223" s="90" t="s">
        <v>879</v>
      </c>
      <c r="B223" s="67" t="s">
        <v>154</v>
      </c>
      <c r="C223" s="47"/>
      <c r="E223" s="57"/>
      <c r="F223" s="57"/>
    </row>
    <row r="224" spans="1:7" ht="15" hidden="1" customHeight="1" outlineLevel="1" x14ac:dyDescent="0.25">
      <c r="A224" s="90" t="s">
        <v>880</v>
      </c>
      <c r="B224" s="67" t="s">
        <v>154</v>
      </c>
      <c r="C224" s="47"/>
      <c r="E224" s="57"/>
      <c r="F224" s="57"/>
    </row>
    <row r="225" spans="1:7" ht="15" hidden="1" customHeight="1" outlineLevel="1" x14ac:dyDescent="0.25">
      <c r="A225" s="90" t="s">
        <v>881</v>
      </c>
      <c r="B225" s="67" t="s">
        <v>154</v>
      </c>
      <c r="C225" s="47"/>
      <c r="E225" s="57"/>
      <c r="F225" s="57"/>
    </row>
    <row r="226" spans="1:7" ht="15" hidden="1" customHeight="1" outlineLevel="1" x14ac:dyDescent="0.25">
      <c r="A226" s="90" t="s">
        <v>882</v>
      </c>
      <c r="B226" s="67" t="s">
        <v>154</v>
      </c>
      <c r="C226" s="47"/>
      <c r="E226" s="57"/>
      <c r="F226" s="57"/>
    </row>
    <row r="227" spans="1:7" ht="15" hidden="1" customHeight="1" outlineLevel="1" x14ac:dyDescent="0.25">
      <c r="A227" s="90" t="s">
        <v>883</v>
      </c>
      <c r="B227" s="67" t="s">
        <v>154</v>
      </c>
      <c r="C227" s="47"/>
      <c r="E227" s="57"/>
      <c r="F227" s="57"/>
    </row>
    <row r="228" spans="1:7" ht="15" customHeight="1" collapsed="1" x14ac:dyDescent="0.25">
      <c r="A228" s="58"/>
      <c r="B228" s="60" t="s">
        <v>984</v>
      </c>
      <c r="C228" s="58" t="s">
        <v>143</v>
      </c>
      <c r="D228" s="58"/>
      <c r="E228" s="46"/>
      <c r="F228" s="58"/>
      <c r="G228" s="59"/>
    </row>
    <row r="229" spans="1:7" ht="15" customHeight="1" x14ac:dyDescent="0.25">
      <c r="A229" s="90" t="s">
        <v>884</v>
      </c>
      <c r="B229" s="90" t="s">
        <v>35</v>
      </c>
      <c r="C229" s="47">
        <v>1</v>
      </c>
      <c r="E229" s="52"/>
      <c r="F229" s="52"/>
    </row>
    <row r="230" spans="1:7" ht="15" customHeight="1" x14ac:dyDescent="0.25">
      <c r="A230" s="90" t="s">
        <v>885</v>
      </c>
      <c r="B230" s="90" t="s">
        <v>36</v>
      </c>
      <c r="C230" s="47">
        <v>0</v>
      </c>
      <c r="E230" s="52"/>
      <c r="F230" s="52"/>
    </row>
    <row r="231" spans="1:7" ht="15" customHeight="1" x14ac:dyDescent="0.25">
      <c r="A231" s="90" t="s">
        <v>886</v>
      </c>
      <c r="B231" s="90" t="s">
        <v>2</v>
      </c>
      <c r="C231" s="47">
        <v>0</v>
      </c>
      <c r="E231" s="52"/>
      <c r="F231" s="52"/>
    </row>
    <row r="232" spans="1:7" ht="15" hidden="1" customHeight="1" outlineLevel="1" x14ac:dyDescent="0.25">
      <c r="A232" s="90" t="s">
        <v>887</v>
      </c>
      <c r="C232" s="47"/>
      <c r="E232" s="52"/>
      <c r="F232" s="52"/>
    </row>
    <row r="233" spans="1:7" ht="15" hidden="1" customHeight="1" outlineLevel="1" x14ac:dyDescent="0.25">
      <c r="A233" s="90" t="s">
        <v>888</v>
      </c>
      <c r="C233" s="47"/>
      <c r="E233" s="52"/>
      <c r="F233" s="52"/>
    </row>
    <row r="234" spans="1:7" ht="15" hidden="1" customHeight="1" outlineLevel="1" x14ac:dyDescent="0.25">
      <c r="A234" s="90" t="s">
        <v>889</v>
      </c>
      <c r="C234" s="47"/>
      <c r="E234" s="52"/>
      <c r="F234" s="52"/>
    </row>
    <row r="235" spans="1:7" ht="15" hidden="1" customHeight="1" outlineLevel="1" x14ac:dyDescent="0.25">
      <c r="A235" s="90" t="s">
        <v>890</v>
      </c>
      <c r="C235" s="47"/>
      <c r="E235" s="52"/>
      <c r="F235" s="52"/>
    </row>
    <row r="236" spans="1:7" ht="15" hidden="1" customHeight="1" outlineLevel="1" x14ac:dyDescent="0.25">
      <c r="A236" s="90" t="s">
        <v>891</v>
      </c>
      <c r="C236" s="47"/>
      <c r="E236" s="52"/>
      <c r="F236" s="52"/>
    </row>
    <row r="237" spans="1:7" ht="15" hidden="1" customHeight="1" outlineLevel="1" x14ac:dyDescent="0.25">
      <c r="A237" s="90" t="s">
        <v>892</v>
      </c>
      <c r="C237" s="47"/>
      <c r="E237" s="52"/>
      <c r="F237" s="52"/>
    </row>
    <row r="238" spans="1:7" ht="18.75" customHeight="1" collapsed="1" x14ac:dyDescent="0.25">
      <c r="A238" s="37"/>
      <c r="B238" s="40" t="s">
        <v>227</v>
      </c>
      <c r="C238" s="110"/>
      <c r="D238" s="37"/>
      <c r="E238" s="37"/>
      <c r="F238" s="38"/>
      <c r="G238" s="38"/>
    </row>
    <row r="239" spans="1:7" ht="15" customHeight="1" x14ac:dyDescent="0.25">
      <c r="A239" s="58"/>
      <c r="B239" s="60" t="s">
        <v>985</v>
      </c>
      <c r="C239" s="58" t="s">
        <v>151</v>
      </c>
      <c r="D239" s="58" t="s">
        <v>57</v>
      </c>
      <c r="E239" s="58"/>
      <c r="F239" s="58" t="s">
        <v>144</v>
      </c>
      <c r="G239" s="58" t="s">
        <v>149</v>
      </c>
    </row>
    <row r="240" spans="1:7" ht="30" customHeight="1" x14ac:dyDescent="0.25">
      <c r="A240" s="90" t="s">
        <v>893</v>
      </c>
      <c r="B240" s="90" t="s">
        <v>88</v>
      </c>
      <c r="C240" s="113">
        <f>C13/D28</f>
        <v>13030267.985312501</v>
      </c>
      <c r="D240" s="126">
        <f>D28</f>
        <v>320</v>
      </c>
      <c r="E240" s="45"/>
      <c r="F240" s="47"/>
      <c r="G240" s="47"/>
    </row>
    <row r="241" spans="1:7" ht="15" customHeight="1" x14ac:dyDescent="0.25">
      <c r="A241" s="45"/>
      <c r="C241" s="113"/>
      <c r="D241" s="45"/>
      <c r="E241" s="45"/>
      <c r="F241" s="47"/>
      <c r="G241" s="47"/>
    </row>
    <row r="242" spans="1:7" ht="15" customHeight="1" x14ac:dyDescent="0.25">
      <c r="B242" s="90" t="s">
        <v>152</v>
      </c>
      <c r="C242" s="113"/>
      <c r="D242" s="45"/>
      <c r="E242" s="45"/>
      <c r="F242" s="47"/>
      <c r="G242" s="47"/>
    </row>
    <row r="243" spans="1:7" ht="15" customHeight="1" x14ac:dyDescent="0.25">
      <c r="A243" s="90" t="s">
        <v>894</v>
      </c>
      <c r="B243" s="86" t="s">
        <v>1051</v>
      </c>
      <c r="C243" s="113">
        <v>399745.8</v>
      </c>
      <c r="D243" s="90">
        <v>7</v>
      </c>
      <c r="E243" s="45"/>
      <c r="F243" s="47">
        <f t="shared" ref="F243:F253" si="12">IF($C$254=0,"",IF(C243="[for completion]","",C243/$C$254))</f>
        <v>9.5869526736371317E-5</v>
      </c>
      <c r="G243" s="47">
        <f t="shared" ref="G243:G253" si="13">IF($D$254=0,"",IF(D243="[for completion]","",D243/$D$254))</f>
        <v>2.1874999999999999E-2</v>
      </c>
    </row>
    <row r="244" spans="1:7" ht="15" customHeight="1" x14ac:dyDescent="0.25">
      <c r="A244" s="90" t="s">
        <v>895</v>
      </c>
      <c r="B244" s="86" t="s">
        <v>1053</v>
      </c>
      <c r="C244" s="113">
        <v>3358101.13</v>
      </c>
      <c r="D244" s="90">
        <v>10</v>
      </c>
      <c r="E244" s="45"/>
      <c r="F244" s="47">
        <f t="shared" si="12"/>
        <v>8.0536072190370411E-4</v>
      </c>
      <c r="G244" s="47">
        <f t="shared" si="13"/>
        <v>3.125E-2</v>
      </c>
    </row>
    <row r="245" spans="1:7" ht="15" customHeight="1" x14ac:dyDescent="0.25">
      <c r="A245" s="90" t="s">
        <v>896</v>
      </c>
      <c r="B245" s="86" t="s">
        <v>1052</v>
      </c>
      <c r="C245" s="113">
        <v>17886323.030000001</v>
      </c>
      <c r="D245" s="90">
        <v>25</v>
      </c>
      <c r="E245" s="45"/>
      <c r="F245" s="47">
        <f t="shared" si="12"/>
        <v>4.2896093565960147E-3</v>
      </c>
      <c r="G245" s="47">
        <f t="shared" si="13"/>
        <v>7.8125E-2</v>
      </c>
    </row>
    <row r="246" spans="1:7" ht="15" customHeight="1" x14ac:dyDescent="0.25">
      <c r="A246" s="90" t="s">
        <v>897</v>
      </c>
      <c r="B246" s="86" t="s">
        <v>1054</v>
      </c>
      <c r="C246" s="113">
        <v>306822578.93000001</v>
      </c>
      <c r="D246" s="90">
        <v>111</v>
      </c>
      <c r="E246" s="45"/>
      <c r="F246" s="47">
        <f t="shared" si="12"/>
        <v>7.3584101281494479E-2</v>
      </c>
      <c r="G246" s="47">
        <f t="shared" si="13"/>
        <v>0.34687499999999999</v>
      </c>
    </row>
    <row r="247" spans="1:7" ht="15" customHeight="1" x14ac:dyDescent="0.25">
      <c r="A247" s="90" t="s">
        <v>898</v>
      </c>
      <c r="B247" s="86" t="s">
        <v>1055</v>
      </c>
      <c r="C247" s="113">
        <v>308227763.00999999</v>
      </c>
      <c r="D247" s="90">
        <v>42</v>
      </c>
      <c r="E247" s="45"/>
      <c r="F247" s="47">
        <f t="shared" si="12"/>
        <v>7.3921101276809204E-2</v>
      </c>
      <c r="G247" s="47">
        <f t="shared" si="13"/>
        <v>0.13125000000000001</v>
      </c>
    </row>
    <row r="248" spans="1:7" ht="15" customHeight="1" x14ac:dyDescent="0.25">
      <c r="A248" s="90" t="s">
        <v>899</v>
      </c>
      <c r="B248" s="86" t="s">
        <v>1056</v>
      </c>
      <c r="C248" s="113">
        <v>395740463.85000002</v>
      </c>
      <c r="D248" s="90">
        <v>33</v>
      </c>
      <c r="E248" s="45"/>
      <c r="F248" s="47">
        <f t="shared" si="12"/>
        <v>9.4908942082022038E-2</v>
      </c>
      <c r="G248" s="47">
        <f t="shared" si="13"/>
        <v>0.10312499999999999</v>
      </c>
    </row>
    <row r="249" spans="1:7" ht="15" customHeight="1" x14ac:dyDescent="0.25">
      <c r="A249" s="90" t="s">
        <v>900</v>
      </c>
      <c r="B249" s="86" t="s">
        <v>1057</v>
      </c>
      <c r="C249" s="113">
        <v>474296215.13</v>
      </c>
      <c r="D249" s="90">
        <v>28</v>
      </c>
      <c r="E249" s="45"/>
      <c r="F249" s="47">
        <f t="shared" si="12"/>
        <v>0.11374867147413495</v>
      </c>
      <c r="G249" s="47">
        <f t="shared" si="13"/>
        <v>8.7499999999999994E-2</v>
      </c>
    </row>
    <row r="250" spans="1:7" ht="15" customHeight="1" x14ac:dyDescent="0.25">
      <c r="A250" s="90" t="s">
        <v>901</v>
      </c>
      <c r="B250" s="86" t="s">
        <v>1058</v>
      </c>
      <c r="C250" s="113">
        <v>508655757.95999998</v>
      </c>
      <c r="D250" s="90">
        <v>21</v>
      </c>
      <c r="E250" s="45"/>
      <c r="F250" s="47">
        <f t="shared" si="12"/>
        <v>0.12198899097215139</v>
      </c>
      <c r="G250" s="47">
        <f t="shared" si="13"/>
        <v>6.5625000000000003E-2</v>
      </c>
    </row>
    <row r="251" spans="1:7" ht="15" customHeight="1" x14ac:dyDescent="0.25">
      <c r="A251" s="90" t="s">
        <v>902</v>
      </c>
      <c r="B251" s="86" t="s">
        <v>1059</v>
      </c>
      <c r="C251" s="113">
        <v>634494979.74000001</v>
      </c>
      <c r="D251" s="90">
        <v>19</v>
      </c>
      <c r="E251" s="45"/>
      <c r="F251" s="47">
        <f t="shared" si="12"/>
        <v>0.15216853666574434</v>
      </c>
      <c r="G251" s="47">
        <f t="shared" si="13"/>
        <v>5.9374999999999997E-2</v>
      </c>
    </row>
    <row r="252" spans="1:7" ht="15" customHeight="1" x14ac:dyDescent="0.25">
      <c r="A252" s="90" t="s">
        <v>903</v>
      </c>
      <c r="B252" s="86" t="s">
        <v>1060</v>
      </c>
      <c r="C252" s="113">
        <v>302670846.88</v>
      </c>
      <c r="D252" s="90">
        <v>7</v>
      </c>
      <c r="E252" s="86"/>
      <c r="F252" s="47">
        <f t="shared" si="12"/>
        <v>7.2588407050886608E-2</v>
      </c>
      <c r="G252" s="47">
        <f t="shared" si="13"/>
        <v>2.1874999999999999E-2</v>
      </c>
    </row>
    <row r="253" spans="1:7" ht="15" customHeight="1" x14ac:dyDescent="0.25">
      <c r="A253" s="90" t="s">
        <v>904</v>
      </c>
      <c r="B253" s="86" t="s">
        <v>1061</v>
      </c>
      <c r="C253" s="113">
        <v>1217132979.8399999</v>
      </c>
      <c r="D253" s="90">
        <v>17</v>
      </c>
      <c r="E253" s="86"/>
      <c r="F253" s="47">
        <f t="shared" si="12"/>
        <v>0.2919004095915208</v>
      </c>
      <c r="G253" s="47">
        <f t="shared" si="13"/>
        <v>5.3124999999999999E-2</v>
      </c>
    </row>
    <row r="254" spans="1:7" ht="15" customHeight="1" x14ac:dyDescent="0.25">
      <c r="A254" s="90" t="s">
        <v>905</v>
      </c>
      <c r="B254" s="56" t="s">
        <v>1</v>
      </c>
      <c r="C254" s="113">
        <f>SUM(C243:C253)</f>
        <v>4169685755.3000002</v>
      </c>
      <c r="D254" s="86">
        <f>SUM(D243:D253)</f>
        <v>320</v>
      </c>
      <c r="E254" s="57"/>
      <c r="F254" s="47">
        <f>SUM(F243:F253)</f>
        <v>1</v>
      </c>
      <c r="G254" s="47">
        <f>SUM(G243:G253)</f>
        <v>1</v>
      </c>
    </row>
    <row r="255" spans="1:7" ht="15" customHeight="1" x14ac:dyDescent="0.25">
      <c r="A255" s="58"/>
      <c r="B255" s="60" t="s">
        <v>986</v>
      </c>
      <c r="C255" s="58" t="s">
        <v>151</v>
      </c>
      <c r="D255" s="58" t="s">
        <v>57</v>
      </c>
      <c r="E255" s="58"/>
      <c r="F255" s="58" t="s">
        <v>144</v>
      </c>
      <c r="G255" s="58" t="s">
        <v>149</v>
      </c>
    </row>
    <row r="256" spans="1:7" ht="15" customHeight="1" x14ac:dyDescent="0.25">
      <c r="A256" s="90" t="s">
        <v>906</v>
      </c>
      <c r="B256" s="90" t="s">
        <v>136</v>
      </c>
      <c r="C256" s="119">
        <v>66.763502478798728</v>
      </c>
      <c r="F256" s="47"/>
      <c r="G256" s="47"/>
    </row>
    <row r="257" spans="1:7" ht="15" customHeight="1" x14ac:dyDescent="0.25">
      <c r="C257" s="113"/>
      <c r="F257" s="47"/>
      <c r="G257" s="47"/>
    </row>
    <row r="258" spans="1:7" ht="15" customHeight="1" x14ac:dyDescent="0.25">
      <c r="B258" s="86" t="s">
        <v>246</v>
      </c>
      <c r="C258" s="113"/>
      <c r="F258" s="47"/>
      <c r="G258" s="47"/>
    </row>
    <row r="259" spans="1:7" ht="15" customHeight="1" x14ac:dyDescent="0.25">
      <c r="A259" s="90" t="s">
        <v>907</v>
      </c>
      <c r="B259" s="90" t="s">
        <v>168</v>
      </c>
      <c r="C259" s="113">
        <v>302540246.69</v>
      </c>
      <c r="D259" s="90">
        <v>75</v>
      </c>
      <c r="F259" s="47">
        <f t="shared" ref="F259:F266" si="14">IF($C$267=0,"",IF(C259="[for completion]","",C259/$C$267))</f>
        <v>7.2557085700150764E-2</v>
      </c>
      <c r="G259" s="47">
        <f t="shared" ref="G259:G266" si="15">IF($D$267=0,"",IF(D259="[for completion]","",D259/$D$267))</f>
        <v>0.23659305993690852</v>
      </c>
    </row>
    <row r="260" spans="1:7" ht="15" customHeight="1" x14ac:dyDescent="0.25">
      <c r="A260" s="90" t="s">
        <v>908</v>
      </c>
      <c r="B260" s="90" t="s">
        <v>170</v>
      </c>
      <c r="C260" s="113">
        <v>272059883.30000001</v>
      </c>
      <c r="D260" s="90">
        <v>22</v>
      </c>
      <c r="F260" s="47">
        <f t="shared" si="14"/>
        <v>6.524709516878828E-2</v>
      </c>
      <c r="G260" s="47">
        <f t="shared" si="15"/>
        <v>6.9400630914826497E-2</v>
      </c>
    </row>
    <row r="261" spans="1:7" ht="15" customHeight="1" x14ac:dyDescent="0.25">
      <c r="A261" s="90" t="s">
        <v>909</v>
      </c>
      <c r="B261" s="90" t="s">
        <v>171</v>
      </c>
      <c r="C261" s="113">
        <v>509932186.76999998</v>
      </c>
      <c r="D261" s="90">
        <v>48</v>
      </c>
      <c r="F261" s="47">
        <f t="shared" si="14"/>
        <v>0.12229511207693189</v>
      </c>
      <c r="G261" s="47">
        <f t="shared" si="15"/>
        <v>0.15141955835962145</v>
      </c>
    </row>
    <row r="262" spans="1:7" ht="15" customHeight="1" x14ac:dyDescent="0.25">
      <c r="A262" s="90" t="s">
        <v>910</v>
      </c>
      <c r="B262" s="90" t="s">
        <v>172</v>
      </c>
      <c r="C262" s="113">
        <v>889373114.13999999</v>
      </c>
      <c r="D262" s="90">
        <v>66</v>
      </c>
      <c r="F262" s="47">
        <f t="shared" si="14"/>
        <v>0.21329499783275907</v>
      </c>
      <c r="G262" s="47">
        <f t="shared" si="15"/>
        <v>0.20820189274447951</v>
      </c>
    </row>
    <row r="263" spans="1:7" ht="15" customHeight="1" x14ac:dyDescent="0.25">
      <c r="A263" s="90" t="s">
        <v>911</v>
      </c>
      <c r="B263" s="90" t="s">
        <v>173</v>
      </c>
      <c r="C263" s="113">
        <v>1523742274.0699999</v>
      </c>
      <c r="D263" s="90">
        <v>75</v>
      </c>
      <c r="F263" s="47">
        <f t="shared" si="14"/>
        <v>0.36543335960826373</v>
      </c>
      <c r="G263" s="47">
        <f t="shared" si="15"/>
        <v>0.23659305993690852</v>
      </c>
    </row>
    <row r="264" spans="1:7" ht="15" customHeight="1" x14ac:dyDescent="0.25">
      <c r="A264" s="90" t="s">
        <v>912</v>
      </c>
      <c r="B264" s="90" t="s">
        <v>174</v>
      </c>
      <c r="C264" s="113">
        <v>618353880.79999995</v>
      </c>
      <c r="D264" s="90">
        <v>29</v>
      </c>
      <c r="F264" s="47">
        <f t="shared" si="14"/>
        <v>0.14829747781688901</v>
      </c>
      <c r="G264" s="47">
        <f t="shared" si="15"/>
        <v>9.1482649842271294E-2</v>
      </c>
    </row>
    <row r="265" spans="1:7" ht="15" customHeight="1" x14ac:dyDescent="0.25">
      <c r="A265" s="90" t="s">
        <v>913</v>
      </c>
      <c r="B265" s="90" t="s">
        <v>175</v>
      </c>
      <c r="C265" s="113">
        <v>53684169.530000001</v>
      </c>
      <c r="D265" s="90">
        <v>2</v>
      </c>
      <c r="F265" s="47">
        <f t="shared" si="14"/>
        <v>1.2874871796217059E-2</v>
      </c>
      <c r="G265" s="47">
        <f t="shared" si="15"/>
        <v>6.3091482649842269E-3</v>
      </c>
    </row>
    <row r="266" spans="1:7" ht="15" customHeight="1" x14ac:dyDescent="0.25">
      <c r="A266" s="90" t="s">
        <v>914</v>
      </c>
      <c r="B266" s="90" t="s">
        <v>169</v>
      </c>
      <c r="C266" s="113">
        <f>SUM(C268:C273)</f>
        <v>0</v>
      </c>
      <c r="D266" s="90">
        <f>SUM(D268:D273)</f>
        <v>0</v>
      </c>
      <c r="F266" s="47">
        <f t="shared" si="14"/>
        <v>0</v>
      </c>
      <c r="G266" s="47">
        <f t="shared" si="15"/>
        <v>0</v>
      </c>
    </row>
    <row r="267" spans="1:7" ht="15" customHeight="1" x14ac:dyDescent="0.25">
      <c r="A267" s="90" t="s">
        <v>915</v>
      </c>
      <c r="B267" s="56" t="s">
        <v>1</v>
      </c>
      <c r="C267" s="113">
        <f>SUM(C259:C266)</f>
        <v>4169685755.3000007</v>
      </c>
      <c r="D267" s="90">
        <f>SUM(D259:D266)</f>
        <v>317</v>
      </c>
      <c r="F267" s="47">
        <f>SUM(F259:F266)</f>
        <v>0.99999999999999978</v>
      </c>
      <c r="G267" s="47">
        <f>SUM(G259:G266)</f>
        <v>0.99999999999999989</v>
      </c>
    </row>
    <row r="268" spans="1:7" ht="15" hidden="1" customHeight="1" outlineLevel="1" x14ac:dyDescent="0.25">
      <c r="A268" s="90" t="s">
        <v>916</v>
      </c>
      <c r="B268" s="67" t="s">
        <v>176</v>
      </c>
      <c r="C268" s="113">
        <v>0</v>
      </c>
      <c r="D268" s="90">
        <v>0</v>
      </c>
      <c r="F268" s="47">
        <f t="shared" ref="F268:F273" si="16">IF($C$267=0,"",IF(C268="[for completion]","",C268/$C$267))</f>
        <v>0</v>
      </c>
      <c r="G268" s="47">
        <f t="shared" ref="G268:G273" si="17">IF($D$267=0,"",IF(D268="[for completion]","",D268/$D$267))</f>
        <v>0</v>
      </c>
    </row>
    <row r="269" spans="1:7" ht="15" hidden="1" customHeight="1" outlineLevel="1" x14ac:dyDescent="0.25">
      <c r="A269" s="90" t="s">
        <v>917</v>
      </c>
      <c r="B269" s="67" t="s">
        <v>177</v>
      </c>
      <c r="C269" s="113">
        <v>0</v>
      </c>
      <c r="D269" s="90">
        <v>0</v>
      </c>
      <c r="F269" s="47">
        <f t="shared" si="16"/>
        <v>0</v>
      </c>
      <c r="G269" s="47">
        <f t="shared" si="17"/>
        <v>0</v>
      </c>
    </row>
    <row r="270" spans="1:7" ht="15" hidden="1" customHeight="1" outlineLevel="1" x14ac:dyDescent="0.25">
      <c r="A270" s="90" t="s">
        <v>918</v>
      </c>
      <c r="B270" s="67" t="s">
        <v>178</v>
      </c>
      <c r="C270" s="113">
        <v>0</v>
      </c>
      <c r="D270" s="90">
        <v>0</v>
      </c>
      <c r="F270" s="47">
        <f t="shared" si="16"/>
        <v>0</v>
      </c>
      <c r="G270" s="47">
        <f t="shared" si="17"/>
        <v>0</v>
      </c>
    </row>
    <row r="271" spans="1:7" ht="15" hidden="1" customHeight="1" outlineLevel="1" x14ac:dyDescent="0.25">
      <c r="A271" s="90" t="s">
        <v>919</v>
      </c>
      <c r="B271" s="67" t="s">
        <v>179</v>
      </c>
      <c r="C271" s="113">
        <v>0</v>
      </c>
      <c r="D271" s="90">
        <v>0</v>
      </c>
      <c r="F271" s="47">
        <f t="shared" si="16"/>
        <v>0</v>
      </c>
      <c r="G271" s="47">
        <f t="shared" si="17"/>
        <v>0</v>
      </c>
    </row>
    <row r="272" spans="1:7" ht="15" hidden="1" customHeight="1" outlineLevel="1" x14ac:dyDescent="0.25">
      <c r="A272" s="90" t="s">
        <v>920</v>
      </c>
      <c r="B272" s="67" t="s">
        <v>180</v>
      </c>
      <c r="C272" s="113">
        <v>0</v>
      </c>
      <c r="D272" s="90">
        <v>0</v>
      </c>
      <c r="F272" s="47">
        <f t="shared" si="16"/>
        <v>0</v>
      </c>
      <c r="G272" s="47">
        <f t="shared" si="17"/>
        <v>0</v>
      </c>
    </row>
    <row r="273" spans="1:7" ht="15" hidden="1" customHeight="1" outlineLevel="1" x14ac:dyDescent="0.25">
      <c r="A273" s="90" t="s">
        <v>921</v>
      </c>
      <c r="B273" s="67" t="s">
        <v>181</v>
      </c>
      <c r="C273" s="113">
        <v>0</v>
      </c>
      <c r="D273" s="90">
        <v>0</v>
      </c>
      <c r="F273" s="47">
        <f t="shared" si="16"/>
        <v>0</v>
      </c>
      <c r="G273" s="47">
        <f t="shared" si="17"/>
        <v>0</v>
      </c>
    </row>
    <row r="274" spans="1:7" ht="15" hidden="1" customHeight="1" outlineLevel="1" x14ac:dyDescent="0.25">
      <c r="A274" s="90" t="s">
        <v>922</v>
      </c>
      <c r="B274" s="67"/>
      <c r="C274" s="113"/>
      <c r="F274" s="47"/>
      <c r="G274" s="47"/>
    </row>
    <row r="275" spans="1:7" ht="15" hidden="1" customHeight="1" outlineLevel="1" x14ac:dyDescent="0.25">
      <c r="A275" s="90" t="s">
        <v>923</v>
      </c>
      <c r="B275" s="67"/>
      <c r="C275" s="113"/>
      <c r="F275" s="47"/>
      <c r="G275" s="47"/>
    </row>
    <row r="276" spans="1:7" ht="15" hidden="1" customHeight="1" outlineLevel="1" x14ac:dyDescent="0.25">
      <c r="A276" s="90" t="s">
        <v>924</v>
      </c>
      <c r="B276" s="67"/>
      <c r="C276" s="113"/>
      <c r="F276" s="47"/>
      <c r="G276" s="47"/>
    </row>
    <row r="277" spans="1:7" ht="15" customHeight="1" collapsed="1" x14ac:dyDescent="0.25">
      <c r="A277" s="58"/>
      <c r="B277" s="60" t="s">
        <v>987</v>
      </c>
      <c r="C277" s="58" t="s">
        <v>151</v>
      </c>
      <c r="D277" s="58" t="s">
        <v>57</v>
      </c>
      <c r="E277" s="58"/>
      <c r="F277" s="58" t="s">
        <v>144</v>
      </c>
      <c r="G277" s="58" t="s">
        <v>149</v>
      </c>
    </row>
    <row r="278" spans="1:7" ht="15" customHeight="1" x14ac:dyDescent="0.25">
      <c r="A278" s="90" t="s">
        <v>925</v>
      </c>
      <c r="B278" s="90" t="s">
        <v>136</v>
      </c>
      <c r="C278" s="113" t="s">
        <v>185</v>
      </c>
      <c r="F278" s="47"/>
      <c r="G278" s="47"/>
    </row>
    <row r="279" spans="1:7" ht="15" customHeight="1" x14ac:dyDescent="0.25">
      <c r="C279" s="113"/>
      <c r="F279" s="47"/>
      <c r="G279" s="47"/>
    </row>
    <row r="280" spans="1:7" ht="15" customHeight="1" x14ac:dyDescent="0.25">
      <c r="B280" s="86" t="s">
        <v>246</v>
      </c>
      <c r="C280" s="113"/>
      <c r="F280" s="47"/>
      <c r="G280" s="47"/>
    </row>
    <row r="281" spans="1:7" ht="15" customHeight="1" x14ac:dyDescent="0.25">
      <c r="A281" s="90" t="s">
        <v>926</v>
      </c>
      <c r="B281" s="90" t="s">
        <v>168</v>
      </c>
      <c r="C281" s="113" t="s">
        <v>185</v>
      </c>
      <c r="D281" s="113" t="s">
        <v>185</v>
      </c>
      <c r="F281" s="47" t="str">
        <f t="shared" ref="F281:F288" si="18">IF($C$289=0,"",IF(C281="[Mark as ND1 if not relevant]","",C281/$C$289))</f>
        <v/>
      </c>
      <c r="G281" s="47" t="str">
        <f t="shared" ref="G281:G288" si="19">IF($D$289=0,"",IF(D281="[Mark as ND1 if not relevant]","",D281/$D$289))</f>
        <v/>
      </c>
    </row>
    <row r="282" spans="1:7" ht="15" customHeight="1" x14ac:dyDescent="0.25">
      <c r="A282" s="90" t="s">
        <v>927</v>
      </c>
      <c r="B282" s="90" t="s">
        <v>170</v>
      </c>
      <c r="C282" s="113" t="s">
        <v>185</v>
      </c>
      <c r="D282" s="113" t="s">
        <v>185</v>
      </c>
      <c r="F282" s="47" t="str">
        <f t="shared" si="18"/>
        <v/>
      </c>
      <c r="G282" s="47" t="str">
        <f t="shared" si="19"/>
        <v/>
      </c>
    </row>
    <row r="283" spans="1:7" ht="15" customHeight="1" x14ac:dyDescent="0.25">
      <c r="A283" s="90" t="s">
        <v>928</v>
      </c>
      <c r="B283" s="90" t="s">
        <v>171</v>
      </c>
      <c r="C283" s="113" t="s">
        <v>185</v>
      </c>
      <c r="D283" s="113" t="s">
        <v>185</v>
      </c>
      <c r="F283" s="47" t="str">
        <f t="shared" si="18"/>
        <v/>
      </c>
      <c r="G283" s="47" t="str">
        <f t="shared" si="19"/>
        <v/>
      </c>
    </row>
    <row r="284" spans="1:7" ht="15" customHeight="1" x14ac:dyDescent="0.25">
      <c r="A284" s="90" t="s">
        <v>929</v>
      </c>
      <c r="B284" s="90" t="s">
        <v>172</v>
      </c>
      <c r="C284" s="113" t="s">
        <v>185</v>
      </c>
      <c r="D284" s="113" t="s">
        <v>185</v>
      </c>
      <c r="F284" s="47" t="str">
        <f t="shared" si="18"/>
        <v/>
      </c>
      <c r="G284" s="47" t="str">
        <f t="shared" si="19"/>
        <v/>
      </c>
    </row>
    <row r="285" spans="1:7" ht="15" customHeight="1" x14ac:dyDescent="0.25">
      <c r="A285" s="90" t="s">
        <v>930</v>
      </c>
      <c r="B285" s="90" t="s">
        <v>173</v>
      </c>
      <c r="C285" s="113" t="s">
        <v>185</v>
      </c>
      <c r="D285" s="113" t="s">
        <v>185</v>
      </c>
      <c r="F285" s="47" t="str">
        <f t="shared" si="18"/>
        <v/>
      </c>
      <c r="G285" s="47" t="str">
        <f t="shared" si="19"/>
        <v/>
      </c>
    </row>
    <row r="286" spans="1:7" ht="15" customHeight="1" x14ac:dyDescent="0.25">
      <c r="A286" s="90" t="s">
        <v>931</v>
      </c>
      <c r="B286" s="90" t="s">
        <v>174</v>
      </c>
      <c r="C286" s="113" t="s">
        <v>185</v>
      </c>
      <c r="D286" s="113" t="s">
        <v>185</v>
      </c>
      <c r="F286" s="47" t="str">
        <f t="shared" si="18"/>
        <v/>
      </c>
      <c r="G286" s="47" t="str">
        <f t="shared" si="19"/>
        <v/>
      </c>
    </row>
    <row r="287" spans="1:7" ht="15" customHeight="1" x14ac:dyDescent="0.25">
      <c r="A287" s="90" t="s">
        <v>932</v>
      </c>
      <c r="B287" s="90" t="s">
        <v>175</v>
      </c>
      <c r="C287" s="113" t="s">
        <v>185</v>
      </c>
      <c r="D287" s="113" t="s">
        <v>185</v>
      </c>
      <c r="F287" s="47" t="str">
        <f t="shared" si="18"/>
        <v/>
      </c>
      <c r="G287" s="47" t="str">
        <f t="shared" si="19"/>
        <v/>
      </c>
    </row>
    <row r="288" spans="1:7" ht="15" customHeight="1" x14ac:dyDescent="0.25">
      <c r="A288" s="90" t="s">
        <v>933</v>
      </c>
      <c r="B288" s="90" t="s">
        <v>169</v>
      </c>
      <c r="C288" s="113" t="s">
        <v>185</v>
      </c>
      <c r="D288" s="113" t="s">
        <v>185</v>
      </c>
      <c r="F288" s="47" t="str">
        <f t="shared" si="18"/>
        <v/>
      </c>
      <c r="G288" s="47" t="str">
        <f t="shared" si="19"/>
        <v/>
      </c>
    </row>
    <row r="289" spans="1:7" ht="15" customHeight="1" x14ac:dyDescent="0.25">
      <c r="A289" s="90" t="s">
        <v>934</v>
      </c>
      <c r="B289" s="56" t="s">
        <v>1</v>
      </c>
      <c r="C289" s="113">
        <f>SUM(C281:C288)</f>
        <v>0</v>
      </c>
      <c r="D289" s="90">
        <f>SUM(D281:D288)</f>
        <v>0</v>
      </c>
      <c r="F289" s="47">
        <f>SUM(F281:F288)</f>
        <v>0</v>
      </c>
      <c r="G289" s="47">
        <f>SUM(G281:G288)</f>
        <v>0</v>
      </c>
    </row>
    <row r="290" spans="1:7" ht="15" hidden="1" customHeight="1" outlineLevel="1" x14ac:dyDescent="0.25">
      <c r="A290" s="90" t="s">
        <v>935</v>
      </c>
      <c r="B290" s="67" t="s">
        <v>176</v>
      </c>
      <c r="C290" s="113"/>
      <c r="F290" s="47" t="str">
        <f t="shared" ref="F290:F295" si="20">IF($C$289=0,"",IF(C290="[for completion]","",C290/$C$289))</f>
        <v/>
      </c>
      <c r="G290" s="47">
        <f>0</f>
        <v>0</v>
      </c>
    </row>
    <row r="291" spans="1:7" ht="15" hidden="1" customHeight="1" outlineLevel="1" x14ac:dyDescent="0.25">
      <c r="A291" s="90" t="s">
        <v>936</v>
      </c>
      <c r="B291" s="67" t="s">
        <v>177</v>
      </c>
      <c r="C291" s="113"/>
      <c r="F291" s="47" t="str">
        <f t="shared" si="20"/>
        <v/>
      </c>
      <c r="G291" s="47">
        <f>0</f>
        <v>0</v>
      </c>
    </row>
    <row r="292" spans="1:7" ht="15" hidden="1" customHeight="1" outlineLevel="1" x14ac:dyDescent="0.25">
      <c r="A292" s="90" t="s">
        <v>937</v>
      </c>
      <c r="B292" s="67" t="s">
        <v>178</v>
      </c>
      <c r="C292" s="113"/>
      <c r="F292" s="47" t="str">
        <f t="shared" si="20"/>
        <v/>
      </c>
      <c r="G292" s="47">
        <f>0</f>
        <v>0</v>
      </c>
    </row>
    <row r="293" spans="1:7" ht="15" hidden="1" customHeight="1" outlineLevel="1" x14ac:dyDescent="0.25">
      <c r="A293" s="90" t="s">
        <v>938</v>
      </c>
      <c r="B293" s="67" t="s">
        <v>179</v>
      </c>
      <c r="C293" s="113"/>
      <c r="F293" s="47" t="str">
        <f t="shared" si="20"/>
        <v/>
      </c>
      <c r="G293" s="47">
        <f>0</f>
        <v>0</v>
      </c>
    </row>
    <row r="294" spans="1:7" ht="15" hidden="1" customHeight="1" outlineLevel="1" x14ac:dyDescent="0.25">
      <c r="A294" s="90" t="s">
        <v>939</v>
      </c>
      <c r="B294" s="67" t="s">
        <v>180</v>
      </c>
      <c r="C294" s="113"/>
      <c r="F294" s="47" t="str">
        <f t="shared" si="20"/>
        <v/>
      </c>
      <c r="G294" s="47">
        <f>0</f>
        <v>0</v>
      </c>
    </row>
    <row r="295" spans="1:7" ht="15" hidden="1" customHeight="1" outlineLevel="1" x14ac:dyDescent="0.25">
      <c r="A295" s="90" t="s">
        <v>940</v>
      </c>
      <c r="B295" s="67" t="s">
        <v>181</v>
      </c>
      <c r="C295" s="113"/>
      <c r="F295" s="47" t="str">
        <f t="shared" si="20"/>
        <v/>
      </c>
      <c r="G295" s="47">
        <f>0</f>
        <v>0</v>
      </c>
    </row>
    <row r="296" spans="1:7" ht="15" hidden="1" customHeight="1" outlineLevel="1" x14ac:dyDescent="0.25">
      <c r="A296" s="90" t="s">
        <v>941</v>
      </c>
      <c r="B296" s="67"/>
      <c r="C296" s="113"/>
      <c r="F296" s="47"/>
      <c r="G296" s="47"/>
    </row>
    <row r="297" spans="1:7" ht="15" hidden="1" customHeight="1" outlineLevel="1" x14ac:dyDescent="0.25">
      <c r="A297" s="90" t="s">
        <v>942</v>
      </c>
      <c r="B297" s="67"/>
      <c r="C297" s="113"/>
      <c r="F297" s="47"/>
      <c r="G297" s="47"/>
    </row>
    <row r="298" spans="1:7" ht="15" hidden="1" customHeight="1" outlineLevel="1" x14ac:dyDescent="0.25">
      <c r="A298" s="90" t="s">
        <v>943</v>
      </c>
      <c r="B298" s="67"/>
      <c r="C298" s="113"/>
      <c r="F298" s="47"/>
      <c r="G298" s="47"/>
    </row>
    <row r="299" spans="1:7" ht="15" customHeight="1" collapsed="1" x14ac:dyDescent="0.25">
      <c r="A299" s="58"/>
      <c r="B299" s="60" t="s">
        <v>988</v>
      </c>
      <c r="C299" s="58" t="s">
        <v>137</v>
      </c>
      <c r="D299" s="58"/>
      <c r="E299" s="58"/>
      <c r="F299" s="58"/>
      <c r="G299" s="59"/>
    </row>
    <row r="300" spans="1:7" ht="15" customHeight="1" x14ac:dyDescent="0.25">
      <c r="A300" s="90" t="s">
        <v>944</v>
      </c>
      <c r="B300" s="86" t="s">
        <v>28</v>
      </c>
      <c r="C300" s="47">
        <v>7.267700081830189E-2</v>
      </c>
      <c r="G300" s="90"/>
    </row>
    <row r="301" spans="1:7" ht="15" customHeight="1" x14ac:dyDescent="0.25">
      <c r="A301" s="90" t="s">
        <v>945</v>
      </c>
      <c r="B301" s="86" t="s">
        <v>29</v>
      </c>
      <c r="C301" s="47">
        <v>0.39499421545053609</v>
      </c>
      <c r="G301" s="90"/>
    </row>
    <row r="302" spans="1:7" ht="15" customHeight="1" x14ac:dyDescent="0.25">
      <c r="A302" s="90" t="s">
        <v>946</v>
      </c>
      <c r="B302" s="86" t="s">
        <v>138</v>
      </c>
      <c r="C302" s="47">
        <v>3.3996621915648652E-2</v>
      </c>
      <c r="G302" s="90"/>
    </row>
    <row r="303" spans="1:7" ht="15" customHeight="1" x14ac:dyDescent="0.25">
      <c r="A303" s="90" t="s">
        <v>947</v>
      </c>
      <c r="B303" s="86" t="s">
        <v>30</v>
      </c>
      <c r="C303" s="47">
        <v>0.35540190527940141</v>
      </c>
      <c r="G303" s="90"/>
    </row>
    <row r="304" spans="1:7" ht="15" customHeight="1" x14ac:dyDescent="0.25">
      <c r="A304" s="90" t="s">
        <v>948</v>
      </c>
      <c r="B304" s="86" t="s">
        <v>75</v>
      </c>
      <c r="C304" s="47">
        <v>8.5290247081080767E-2</v>
      </c>
      <c r="G304" s="90"/>
    </row>
    <row r="305" spans="1:7" ht="15" customHeight="1" x14ac:dyDescent="0.25">
      <c r="A305" s="90" t="s">
        <v>949</v>
      </c>
      <c r="B305" s="86" t="s">
        <v>127</v>
      </c>
      <c r="C305" s="47">
        <v>0</v>
      </c>
      <c r="G305" s="90"/>
    </row>
    <row r="306" spans="1:7" ht="15" customHeight="1" x14ac:dyDescent="0.25">
      <c r="A306" s="90" t="s">
        <v>950</v>
      </c>
      <c r="B306" s="86" t="s">
        <v>209</v>
      </c>
      <c r="C306" s="47">
        <v>3.2376932278026523E-2</v>
      </c>
      <c r="G306" s="90"/>
    </row>
    <row r="307" spans="1:7" ht="15" customHeight="1" x14ac:dyDescent="0.25">
      <c r="A307" s="90" t="s">
        <v>951</v>
      </c>
      <c r="B307" s="86" t="s">
        <v>31</v>
      </c>
      <c r="C307" s="47">
        <v>0</v>
      </c>
      <c r="G307" s="90"/>
    </row>
    <row r="308" spans="1:7" ht="15" customHeight="1" x14ac:dyDescent="0.25">
      <c r="A308" s="90" t="s">
        <v>952</v>
      </c>
      <c r="B308" s="86" t="s">
        <v>210</v>
      </c>
      <c r="C308" s="47">
        <v>1.4496373750268639E-2</v>
      </c>
      <c r="G308" s="90"/>
    </row>
    <row r="309" spans="1:7" ht="15" customHeight="1" x14ac:dyDescent="0.25">
      <c r="A309" s="90" t="s">
        <v>953</v>
      </c>
      <c r="B309" s="86" t="s">
        <v>2</v>
      </c>
      <c r="C309" s="47">
        <v>1.0766703426735805E-2</v>
      </c>
      <c r="G309" s="90"/>
    </row>
    <row r="310" spans="1:7" ht="15" hidden="1" customHeight="1" outlineLevel="1" x14ac:dyDescent="0.25">
      <c r="A310" s="90" t="s">
        <v>954</v>
      </c>
      <c r="B310" s="67" t="s">
        <v>159</v>
      </c>
      <c r="C310" s="47"/>
      <c r="G310" s="90"/>
    </row>
    <row r="311" spans="1:7" ht="15" hidden="1" customHeight="1" outlineLevel="1" x14ac:dyDescent="0.25">
      <c r="A311" s="90" t="s">
        <v>955</v>
      </c>
      <c r="B311" s="67" t="s">
        <v>154</v>
      </c>
      <c r="C311" s="47"/>
      <c r="G311" s="90"/>
    </row>
    <row r="312" spans="1:7" ht="15" hidden="1" customHeight="1" outlineLevel="1" x14ac:dyDescent="0.25">
      <c r="A312" s="90" t="s">
        <v>956</v>
      </c>
      <c r="B312" s="67" t="s">
        <v>154</v>
      </c>
      <c r="C312" s="47"/>
      <c r="G312" s="90"/>
    </row>
    <row r="313" spans="1:7" ht="15" hidden="1" customHeight="1" outlineLevel="1" x14ac:dyDescent="0.25">
      <c r="A313" s="90" t="s">
        <v>957</v>
      </c>
      <c r="B313" s="67" t="s">
        <v>154</v>
      </c>
      <c r="C313" s="47"/>
      <c r="G313" s="90"/>
    </row>
    <row r="314" spans="1:7" ht="15" hidden="1" customHeight="1" outlineLevel="1" x14ac:dyDescent="0.25">
      <c r="A314" s="90" t="s">
        <v>958</v>
      </c>
      <c r="B314" s="67" t="s">
        <v>154</v>
      </c>
      <c r="C314" s="47"/>
      <c r="G314" s="90"/>
    </row>
    <row r="315" spans="1:7" ht="15" hidden="1" customHeight="1" outlineLevel="1" x14ac:dyDescent="0.25">
      <c r="A315" s="90" t="s">
        <v>959</v>
      </c>
      <c r="B315" s="67" t="s">
        <v>154</v>
      </c>
      <c r="C315" s="47"/>
      <c r="G315" s="90"/>
    </row>
    <row r="316" spans="1:7" ht="15" hidden="1" customHeight="1" outlineLevel="1" x14ac:dyDescent="0.25">
      <c r="A316" s="90" t="s">
        <v>960</v>
      </c>
      <c r="B316" s="67" t="s">
        <v>154</v>
      </c>
      <c r="C316" s="47"/>
      <c r="G316" s="90"/>
    </row>
    <row r="317" spans="1:7" ht="15" hidden="1" customHeight="1" outlineLevel="1" x14ac:dyDescent="0.25">
      <c r="A317" s="90" t="s">
        <v>961</v>
      </c>
      <c r="B317" s="67" t="s">
        <v>154</v>
      </c>
      <c r="C317" s="47"/>
      <c r="G317" s="90"/>
    </row>
    <row r="318" spans="1:7" ht="15" hidden="1" customHeight="1" outlineLevel="1" x14ac:dyDescent="0.25">
      <c r="A318" s="90" t="s">
        <v>962</v>
      </c>
      <c r="B318" s="67" t="s">
        <v>154</v>
      </c>
      <c r="C318" s="47"/>
      <c r="G318" s="90"/>
    </row>
    <row r="319" spans="1:7" ht="15" hidden="1" customHeight="1" outlineLevel="1" x14ac:dyDescent="0.25">
      <c r="A319" s="90" t="s">
        <v>963</v>
      </c>
      <c r="B319" s="67" t="s">
        <v>154</v>
      </c>
      <c r="C319" s="47"/>
      <c r="G319" s="90"/>
    </row>
    <row r="320" spans="1:7" ht="15" hidden="1" customHeight="1" outlineLevel="1" x14ac:dyDescent="0.25">
      <c r="A320" s="90" t="s">
        <v>964</v>
      </c>
      <c r="B320" s="67" t="s">
        <v>154</v>
      </c>
      <c r="C320" s="47"/>
      <c r="G320" s="90"/>
    </row>
    <row r="321" spans="1:3" ht="15" hidden="1" customHeight="1" outlineLevel="1" x14ac:dyDescent="0.25">
      <c r="A321" s="90" t="s">
        <v>965</v>
      </c>
      <c r="B321" s="67" t="s">
        <v>154</v>
      </c>
      <c r="C321" s="47"/>
    </row>
    <row r="322" spans="1:3" ht="15" hidden="1" customHeight="1" outlineLevel="1" x14ac:dyDescent="0.25">
      <c r="A322" s="90" t="s">
        <v>966</v>
      </c>
      <c r="B322" s="67" t="s">
        <v>154</v>
      </c>
      <c r="C322" s="47"/>
    </row>
    <row r="323" spans="1:3" ht="15" hidden="1" customHeight="1" outlineLevel="1" x14ac:dyDescent="0.25">
      <c r="A323" s="90" t="s">
        <v>967</v>
      </c>
      <c r="B323" s="67" t="s">
        <v>154</v>
      </c>
      <c r="C323" s="47"/>
    </row>
    <row r="324" spans="1:3" ht="15" hidden="1" customHeight="1" outlineLevel="1" x14ac:dyDescent="0.25">
      <c r="A324" s="90" t="s">
        <v>968</v>
      </c>
      <c r="B324" s="67" t="s">
        <v>154</v>
      </c>
      <c r="C324" s="47"/>
    </row>
    <row r="325" spans="1:3" ht="15" hidden="1" customHeight="1" outlineLevel="1" x14ac:dyDescent="0.25">
      <c r="A325" s="90" t="s">
        <v>969</v>
      </c>
      <c r="B325" s="67" t="s">
        <v>154</v>
      </c>
      <c r="C325" s="47"/>
    </row>
    <row r="326" spans="1:3" ht="15" hidden="1" customHeight="1" outlineLevel="1" x14ac:dyDescent="0.25">
      <c r="A326" s="90" t="s">
        <v>970</v>
      </c>
      <c r="B326" s="67" t="s">
        <v>154</v>
      </c>
      <c r="C326" s="47"/>
    </row>
    <row r="327" spans="1:3" collapsed="1" x14ac:dyDescent="0.25"/>
  </sheetData>
  <sortState ref="B65:B73">
    <sortCondition ref="B65"/>
  </sortState>
  <hyperlinks>
    <hyperlink ref="B6" location="'B1. HTT Mortgage Assets'!B10" display="7. Mortgage Assets"/>
    <hyperlink ref="B7" location="'B1. HTT Mortgage Assets'!B166" display="7.A Residential Cover Pool"/>
    <hyperlink ref="B8" location="'B1. HTT Mortgage Assets'!B266" display="7.B Commercial Cover Pool"/>
    <hyperlink ref="B115" location="'2. Harmonised Glossary'!A9" display="Breakdown by Interest Rate"/>
    <hyperlink ref="B145" location="'2. Harmonised Glossary'!A14" display="Non-Performing Loans (NPLs)"/>
    <hyperlink ref="B11" location="'2. Harmonised Glossary'!A12" display="Property Type Information"/>
    <hyperlink ref="B168" location="'2. Harmonised Glossary'!A288" display="Loan to Value (LTV) Information - Un-indexed"/>
    <hyperlink ref="B190" location="'2. Harmonised Glossary'!A11" display="Loan to Value (LTV) Information - Indexed"/>
    <hyperlink ref="B255" location="'2. Harmonised Glossary'!A11" display="Loan to Value (LTV) Information - Un-indexed"/>
    <hyperlink ref="B277" location="'2. Harmonised Glossary'!A11" display="Loan to Value (LTV) Information - Indexed"/>
    <hyperlink ref="B6" location="'B1. HTT Mortgage Assets'!B10" display="7. Mortgage Assets"/>
    <hyperlink ref="B7" location="'B1. HTT Mortgage Assets'!B166" display="7.A Residential Cover Pool"/>
    <hyperlink ref="B8" location="'B1. HTT Mortgage Assets'!B266" display="7.B Commercial Cover Pool"/>
    <hyperlink ref="B11" location="'2. Harmonised Glossary'!A12" display="Property Type Information"/>
    <hyperlink ref="B115" location="'2. Harmonised Glossary'!A9" display="Breakdown by Interest Rate"/>
    <hyperlink ref="B145" location="'2. Harmonised Glossary'!A14" display="Non-Performing Loans (NPLs)"/>
    <hyperlink ref="B168" location="'2. Harmonised Glossary'!A288" display="Loan to Value (LTV) Information - Un-indexed"/>
    <hyperlink ref="B190" location="'2. Harmonised Glossary'!A11" display="Loan to Value (LTV) Information - Indexed"/>
    <hyperlink ref="B255" location="'2. Harmonised Glossary'!A11" display="Loan to Value (LTV) Information - Un-indexed"/>
    <hyperlink ref="B27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E36E00"/>
  </sheetPr>
  <dimension ref="A1:M383"/>
  <sheetViews>
    <sheetView zoomScale="70" zoomScaleNormal="70" workbookViewId="0">
      <selection activeCell="B55" sqref="B55"/>
    </sheetView>
  </sheetViews>
  <sheetFormatPr defaultColWidth="11.42578125" defaultRowHeight="15" outlineLevelRow="1" x14ac:dyDescent="0.25"/>
  <cols>
    <col min="1" max="1" width="16.28515625" style="50" customWidth="1" collapsed="1"/>
    <col min="2" max="2" width="89.85546875" style="4" bestFit="1" customWidth="1" collapsed="1"/>
    <col min="3" max="3" width="134.7109375" style="13" customWidth="1" collapsed="1"/>
    <col min="4" max="13" width="11.42578125" style="13" collapsed="1"/>
  </cols>
  <sheetData>
    <row r="1" spans="1:13" ht="31.5" x14ac:dyDescent="0.25">
      <c r="A1" s="19" t="s">
        <v>255</v>
      </c>
      <c r="B1" s="19"/>
      <c r="C1" s="2"/>
    </row>
    <row r="2" spans="1:13" x14ac:dyDescent="0.25">
      <c r="B2" s="2"/>
      <c r="C2" s="2"/>
    </row>
    <row r="3" spans="1:13" x14ac:dyDescent="0.25">
      <c r="A3" s="78" t="s">
        <v>64</v>
      </c>
      <c r="B3" s="41"/>
      <c r="C3" s="2"/>
    </row>
    <row r="4" spans="1:13" x14ac:dyDescent="0.25">
      <c r="C4" s="2"/>
    </row>
    <row r="5" spans="1:13" ht="37.5" x14ac:dyDescent="0.25">
      <c r="A5" s="18" t="s">
        <v>223</v>
      </c>
      <c r="B5" s="18" t="s">
        <v>1019</v>
      </c>
      <c r="C5" s="17" t="s">
        <v>62</v>
      </c>
    </row>
    <row r="6" spans="1:13" x14ac:dyDescent="0.25">
      <c r="A6" s="72" t="s">
        <v>990</v>
      </c>
      <c r="B6" s="11" t="s">
        <v>240</v>
      </c>
      <c r="C6" s="4" t="s">
        <v>54</v>
      </c>
    </row>
    <row r="7" spans="1:13" s="84" customFormat="1" x14ac:dyDescent="0.25">
      <c r="A7" s="89" t="s">
        <v>991</v>
      </c>
      <c r="B7" s="45" t="s">
        <v>241</v>
      </c>
      <c r="C7" s="90" t="s">
        <v>54</v>
      </c>
      <c r="D7" s="87"/>
      <c r="E7" s="87"/>
      <c r="F7" s="87"/>
      <c r="G7" s="87"/>
      <c r="H7" s="87"/>
      <c r="I7" s="87"/>
      <c r="J7" s="87"/>
      <c r="K7" s="87"/>
      <c r="L7" s="87"/>
      <c r="M7" s="87"/>
    </row>
    <row r="8" spans="1:13" s="84" customFormat="1" x14ac:dyDescent="0.25">
      <c r="A8" s="89" t="s">
        <v>992</v>
      </c>
      <c r="B8" s="45" t="s">
        <v>242</v>
      </c>
      <c r="C8" s="90" t="s">
        <v>54</v>
      </c>
      <c r="D8" s="87"/>
      <c r="E8" s="87"/>
      <c r="F8" s="87"/>
      <c r="G8" s="87"/>
      <c r="H8" s="87"/>
      <c r="I8" s="87"/>
      <c r="J8" s="87"/>
      <c r="K8" s="87"/>
      <c r="L8" s="87"/>
      <c r="M8" s="87"/>
    </row>
    <row r="9" spans="1:13" x14ac:dyDescent="0.25">
      <c r="A9" s="89" t="s">
        <v>993</v>
      </c>
      <c r="B9" s="11" t="s">
        <v>63</v>
      </c>
      <c r="C9" s="4" t="s">
        <v>54</v>
      </c>
    </row>
    <row r="10" spans="1:13" ht="44.25" customHeight="1" x14ac:dyDescent="0.25">
      <c r="A10" s="89" t="s">
        <v>994</v>
      </c>
      <c r="B10" s="45" t="s">
        <v>251</v>
      </c>
      <c r="C10" s="90" t="s">
        <v>54</v>
      </c>
    </row>
    <row r="11" spans="1:13" s="84" customFormat="1" ht="54.75" customHeight="1" x14ac:dyDescent="0.25">
      <c r="A11" s="89" t="s">
        <v>995</v>
      </c>
      <c r="B11" s="45" t="s">
        <v>252</v>
      </c>
      <c r="C11" s="90" t="s">
        <v>54</v>
      </c>
      <c r="D11" s="87"/>
      <c r="E11" s="87"/>
      <c r="F11" s="87"/>
      <c r="G11" s="87"/>
      <c r="H11" s="87"/>
      <c r="I11" s="87"/>
      <c r="J11" s="87"/>
      <c r="K11" s="87"/>
      <c r="L11" s="87"/>
      <c r="M11" s="87"/>
    </row>
    <row r="12" spans="1:13" x14ac:dyDescent="0.25">
      <c r="A12" s="89" t="s">
        <v>996</v>
      </c>
      <c r="B12" s="11" t="s">
        <v>244</v>
      </c>
      <c r="C12" s="4" t="s">
        <v>54</v>
      </c>
    </row>
    <row r="13" spans="1:13" s="84" customFormat="1" x14ac:dyDescent="0.25">
      <c r="A13" s="89" t="s">
        <v>997</v>
      </c>
      <c r="B13" s="45" t="s">
        <v>261</v>
      </c>
      <c r="C13" s="90"/>
      <c r="D13" s="87"/>
      <c r="E13" s="87"/>
      <c r="F13" s="87"/>
      <c r="G13" s="87"/>
      <c r="H13" s="87"/>
      <c r="I13" s="87"/>
      <c r="J13" s="87"/>
      <c r="K13" s="87"/>
      <c r="L13" s="87"/>
      <c r="M13" s="87"/>
    </row>
    <row r="14" spans="1:13" s="84" customFormat="1" ht="30" x14ac:dyDescent="0.25">
      <c r="A14" s="89" t="s">
        <v>998</v>
      </c>
      <c r="B14" s="45" t="s">
        <v>262</v>
      </c>
      <c r="C14" s="90"/>
      <c r="D14" s="87"/>
      <c r="E14" s="87"/>
      <c r="F14" s="87"/>
      <c r="G14" s="87"/>
      <c r="H14" s="87"/>
      <c r="I14" s="87"/>
      <c r="J14" s="87"/>
      <c r="K14" s="87"/>
      <c r="L14" s="87"/>
      <c r="M14" s="87"/>
    </row>
    <row r="15" spans="1:13" s="84" customFormat="1" x14ac:dyDescent="0.25">
      <c r="A15" s="89" t="s">
        <v>999</v>
      </c>
      <c r="B15" s="45" t="s">
        <v>243</v>
      </c>
      <c r="C15" s="90"/>
      <c r="D15" s="87"/>
      <c r="E15" s="87"/>
      <c r="F15" s="87"/>
      <c r="G15" s="87"/>
      <c r="H15" s="87"/>
      <c r="I15" s="87"/>
      <c r="J15" s="87"/>
      <c r="K15" s="87"/>
      <c r="L15" s="87"/>
      <c r="M15" s="87"/>
    </row>
    <row r="16" spans="1:13" ht="30" x14ac:dyDescent="0.25">
      <c r="A16" s="89" t="s">
        <v>1000</v>
      </c>
      <c r="B16" s="12" t="s">
        <v>263</v>
      </c>
      <c r="C16" s="4" t="s">
        <v>54</v>
      </c>
    </row>
    <row r="17" spans="1:13" ht="30" customHeight="1" x14ac:dyDescent="0.25">
      <c r="A17" s="89" t="s">
        <v>1001</v>
      </c>
      <c r="B17" s="12" t="s">
        <v>153</v>
      </c>
      <c r="C17" s="4" t="s">
        <v>54</v>
      </c>
    </row>
    <row r="18" spans="1:13" x14ac:dyDescent="0.25">
      <c r="A18" s="89" t="s">
        <v>1002</v>
      </c>
      <c r="B18" s="12" t="s">
        <v>150</v>
      </c>
      <c r="C18" s="53" t="s">
        <v>54</v>
      </c>
    </row>
    <row r="19" spans="1:13" s="50" customFormat="1" outlineLevel="1" x14ac:dyDescent="0.25">
      <c r="A19" s="89" t="s">
        <v>1003</v>
      </c>
      <c r="B19" s="12" t="s">
        <v>1022</v>
      </c>
      <c r="C19" s="53"/>
      <c r="D19" s="13"/>
      <c r="E19" s="13"/>
      <c r="F19" s="13"/>
      <c r="G19" s="13"/>
      <c r="H19" s="13"/>
      <c r="I19" s="13"/>
      <c r="J19" s="13"/>
      <c r="K19" s="13"/>
      <c r="L19" s="13"/>
      <c r="M19" s="13"/>
    </row>
    <row r="20" spans="1:13" s="84" customFormat="1" outlineLevel="1" x14ac:dyDescent="0.25">
      <c r="A20" s="89" t="s">
        <v>1004</v>
      </c>
      <c r="B20" s="88"/>
      <c r="C20" s="85"/>
      <c r="D20" s="87"/>
      <c r="E20" s="87"/>
      <c r="F20" s="87"/>
      <c r="G20" s="87"/>
      <c r="H20" s="87"/>
      <c r="I20" s="87"/>
      <c r="J20" s="87"/>
      <c r="K20" s="87"/>
      <c r="L20" s="87"/>
      <c r="M20" s="87"/>
    </row>
    <row r="21" spans="1:13" s="84" customFormat="1" outlineLevel="1" x14ac:dyDescent="0.25">
      <c r="A21" s="89" t="s">
        <v>1005</v>
      </c>
      <c r="B21" s="88"/>
      <c r="C21" s="85"/>
      <c r="D21" s="87"/>
      <c r="E21" s="87"/>
      <c r="F21" s="87"/>
      <c r="G21" s="87"/>
      <c r="H21" s="87"/>
      <c r="I21" s="87"/>
      <c r="J21" s="87"/>
      <c r="K21" s="87"/>
      <c r="L21" s="87"/>
      <c r="M21" s="87"/>
    </row>
    <row r="22" spans="1:13" s="84" customFormat="1" outlineLevel="1" x14ac:dyDescent="0.25">
      <c r="A22" s="89" t="s">
        <v>1006</v>
      </c>
      <c r="B22" s="88"/>
      <c r="C22" s="85"/>
      <c r="D22" s="87"/>
      <c r="E22" s="87"/>
      <c r="F22" s="87"/>
      <c r="G22" s="87"/>
      <c r="H22" s="87"/>
      <c r="I22" s="87"/>
      <c r="J22" s="87"/>
      <c r="K22" s="87"/>
      <c r="L22" s="87"/>
      <c r="M22" s="87"/>
    </row>
    <row r="23" spans="1:13" s="84" customFormat="1" outlineLevel="1" x14ac:dyDescent="0.25">
      <c r="A23" s="89" t="s">
        <v>1007</v>
      </c>
      <c r="B23" s="88"/>
      <c r="C23" s="85"/>
      <c r="D23" s="87"/>
      <c r="E23" s="87"/>
      <c r="F23" s="87"/>
      <c r="G23" s="87"/>
      <c r="H23" s="87"/>
      <c r="I23" s="87"/>
      <c r="J23" s="87"/>
      <c r="K23" s="87"/>
      <c r="L23" s="87"/>
      <c r="M23" s="87"/>
    </row>
    <row r="24" spans="1:13" s="50" customFormat="1" ht="18.75" x14ac:dyDescent="0.25">
      <c r="A24" s="18"/>
      <c r="B24" s="18" t="s">
        <v>1020</v>
      </c>
      <c r="C24" s="17" t="s">
        <v>162</v>
      </c>
      <c r="D24" s="13"/>
      <c r="E24" s="13"/>
      <c r="F24" s="13"/>
      <c r="G24" s="13"/>
      <c r="H24" s="13"/>
      <c r="I24" s="13"/>
      <c r="J24" s="13"/>
      <c r="K24" s="13"/>
      <c r="L24" s="13"/>
      <c r="M24" s="13"/>
    </row>
    <row r="25" spans="1:13" s="50" customFormat="1" x14ac:dyDescent="0.25">
      <c r="A25" s="89" t="s">
        <v>1008</v>
      </c>
      <c r="B25" s="12" t="s">
        <v>163</v>
      </c>
      <c r="C25" s="53" t="s">
        <v>185</v>
      </c>
      <c r="D25" s="13"/>
      <c r="E25" s="13"/>
      <c r="F25" s="13"/>
      <c r="G25" s="13"/>
      <c r="H25" s="13"/>
      <c r="I25" s="13"/>
      <c r="J25" s="13"/>
      <c r="K25" s="13"/>
      <c r="L25" s="13"/>
      <c r="M25" s="13"/>
    </row>
    <row r="26" spans="1:13" s="50" customFormat="1" x14ac:dyDescent="0.25">
      <c r="A26" s="89" t="s">
        <v>1009</v>
      </c>
      <c r="B26" s="12" t="s">
        <v>164</v>
      </c>
      <c r="C26" s="53" t="s">
        <v>186</v>
      </c>
      <c r="D26" s="13"/>
      <c r="E26" s="13"/>
      <c r="F26" s="13"/>
      <c r="G26" s="13"/>
      <c r="H26" s="13"/>
      <c r="I26" s="13"/>
      <c r="J26" s="13"/>
      <c r="K26" s="13"/>
      <c r="L26" s="13"/>
      <c r="M26" s="13"/>
    </row>
    <row r="27" spans="1:13" s="50" customFormat="1" x14ac:dyDescent="0.25">
      <c r="A27" s="89" t="s">
        <v>1010</v>
      </c>
      <c r="B27" s="12" t="s">
        <v>165</v>
      </c>
      <c r="C27" s="53" t="s">
        <v>187</v>
      </c>
      <c r="D27" s="13"/>
      <c r="E27" s="13"/>
      <c r="F27" s="13"/>
      <c r="G27" s="13"/>
      <c r="H27" s="13"/>
      <c r="I27" s="13"/>
      <c r="J27" s="13"/>
      <c r="K27" s="13"/>
      <c r="L27" s="13"/>
      <c r="M27" s="13"/>
    </row>
    <row r="28" spans="1:13" s="50" customFormat="1" outlineLevel="1" x14ac:dyDescent="0.25">
      <c r="A28" s="89" t="s">
        <v>1008</v>
      </c>
      <c r="B28" s="54"/>
      <c r="C28" s="53"/>
      <c r="D28" s="13"/>
      <c r="E28" s="13"/>
      <c r="F28" s="13"/>
      <c r="G28" s="13"/>
      <c r="H28" s="13"/>
      <c r="I28" s="13"/>
      <c r="J28" s="13"/>
      <c r="K28" s="13"/>
      <c r="L28" s="13"/>
      <c r="M28" s="13"/>
    </row>
    <row r="29" spans="1:13" s="50" customFormat="1" outlineLevel="1" x14ac:dyDescent="0.25">
      <c r="A29" s="89" t="s">
        <v>1011</v>
      </c>
      <c r="B29" s="54"/>
      <c r="C29" s="53"/>
      <c r="D29" s="13"/>
      <c r="E29" s="13"/>
      <c r="F29" s="13"/>
      <c r="G29" s="13"/>
      <c r="H29" s="13"/>
      <c r="I29" s="13"/>
      <c r="J29" s="13"/>
      <c r="K29" s="13"/>
      <c r="L29" s="13"/>
      <c r="M29" s="13"/>
    </row>
    <row r="30" spans="1:13" s="50" customFormat="1" outlineLevel="1" x14ac:dyDescent="0.25">
      <c r="A30" s="89" t="s">
        <v>1012</v>
      </c>
      <c r="B30" s="12"/>
      <c r="C30" s="53"/>
      <c r="D30" s="13"/>
      <c r="E30" s="13"/>
      <c r="F30" s="13"/>
      <c r="G30" s="13"/>
      <c r="H30" s="13"/>
      <c r="I30" s="13"/>
      <c r="J30" s="13"/>
      <c r="K30" s="13"/>
      <c r="L30" s="13"/>
      <c r="M30" s="13"/>
    </row>
    <row r="31" spans="1:13" ht="18.75" x14ac:dyDescent="0.25">
      <c r="A31" s="18"/>
      <c r="B31" s="18" t="s">
        <v>1021</v>
      </c>
      <c r="C31" s="17" t="s">
        <v>62</v>
      </c>
    </row>
    <row r="32" spans="1:13" x14ac:dyDescent="0.25">
      <c r="A32" s="89" t="s">
        <v>1013</v>
      </c>
      <c r="B32" s="11" t="s">
        <v>65</v>
      </c>
      <c r="C32" s="4" t="s">
        <v>54</v>
      </c>
    </row>
    <row r="33" spans="1:2" x14ac:dyDescent="0.25">
      <c r="A33" s="89" t="s">
        <v>1014</v>
      </c>
      <c r="B33" s="6"/>
    </row>
    <row r="34" spans="1:2" x14ac:dyDescent="0.25">
      <c r="A34" s="89" t="s">
        <v>1015</v>
      </c>
      <c r="B34" s="6"/>
    </row>
    <row r="35" spans="1:2" x14ac:dyDescent="0.25">
      <c r="A35" s="89" t="s">
        <v>1016</v>
      </c>
      <c r="B35" s="6"/>
    </row>
    <row r="36" spans="1:2" x14ac:dyDescent="0.25">
      <c r="A36" s="89" t="s">
        <v>1017</v>
      </c>
      <c r="B36" s="6"/>
    </row>
    <row r="37" spans="1:2" x14ac:dyDescent="0.25">
      <c r="A37" s="89" t="s">
        <v>1018</v>
      </c>
      <c r="B37" s="6"/>
    </row>
    <row r="38" spans="1:2" x14ac:dyDescent="0.25">
      <c r="B38" s="6"/>
    </row>
    <row r="39" spans="1:2" x14ac:dyDescent="0.25">
      <c r="B39" s="6"/>
    </row>
    <row r="40" spans="1:2" x14ac:dyDescent="0.25">
      <c r="B40" s="6"/>
    </row>
    <row r="41" spans="1:2" x14ac:dyDescent="0.25">
      <c r="B41" s="6"/>
    </row>
    <row r="42" spans="1:2" x14ac:dyDescent="0.25">
      <c r="B42" s="6"/>
    </row>
    <row r="43" spans="1:2" x14ac:dyDescent="0.25">
      <c r="B43" s="6"/>
    </row>
    <row r="44" spans="1:2" x14ac:dyDescent="0.25">
      <c r="B44" s="6"/>
    </row>
    <row r="45" spans="1:2" x14ac:dyDescent="0.25">
      <c r="B45" s="6"/>
    </row>
    <row r="46" spans="1:2" x14ac:dyDescent="0.25">
      <c r="B46" s="6"/>
    </row>
    <row r="47" spans="1:2" x14ac:dyDescent="0.25">
      <c r="B47" s="6"/>
    </row>
    <row r="48" spans="1:2" x14ac:dyDescent="0.25">
      <c r="B48" s="6"/>
    </row>
    <row r="49" spans="2:2" x14ac:dyDescent="0.25">
      <c r="B49" s="6"/>
    </row>
    <row r="50" spans="2:2" x14ac:dyDescent="0.25">
      <c r="B50" s="6"/>
    </row>
    <row r="51" spans="2:2" x14ac:dyDescent="0.25">
      <c r="B51" s="6"/>
    </row>
    <row r="52" spans="2:2" x14ac:dyDescent="0.25">
      <c r="B52" s="6"/>
    </row>
    <row r="53" spans="2:2" x14ac:dyDescent="0.25">
      <c r="B53" s="6"/>
    </row>
    <row r="54" spans="2:2" x14ac:dyDescent="0.25">
      <c r="B54" s="6"/>
    </row>
    <row r="55" spans="2:2" x14ac:dyDescent="0.25">
      <c r="B55" s="6"/>
    </row>
    <row r="56" spans="2:2" x14ac:dyDescent="0.25">
      <c r="B56" s="6"/>
    </row>
    <row r="57" spans="2:2" x14ac:dyDescent="0.25">
      <c r="B57" s="6"/>
    </row>
    <row r="58" spans="2:2" x14ac:dyDescent="0.25">
      <c r="B58" s="6"/>
    </row>
    <row r="59" spans="2:2" x14ac:dyDescent="0.25">
      <c r="B59" s="6"/>
    </row>
    <row r="60" spans="2:2" x14ac:dyDescent="0.25">
      <c r="B60" s="6"/>
    </row>
    <row r="61" spans="2:2" x14ac:dyDescent="0.25">
      <c r="B61" s="6"/>
    </row>
    <row r="62" spans="2:2" x14ac:dyDescent="0.25">
      <c r="B62" s="6"/>
    </row>
    <row r="63" spans="2:2" x14ac:dyDescent="0.25">
      <c r="B63" s="6"/>
    </row>
    <row r="64" spans="2:2" x14ac:dyDescent="0.25">
      <c r="B64" s="6"/>
    </row>
    <row r="65" spans="2:2" x14ac:dyDescent="0.25">
      <c r="B65" s="6"/>
    </row>
    <row r="66" spans="2:2" x14ac:dyDescent="0.25">
      <c r="B66" s="6"/>
    </row>
    <row r="67" spans="2:2" x14ac:dyDescent="0.25">
      <c r="B67" s="6"/>
    </row>
    <row r="68" spans="2:2" x14ac:dyDescent="0.25">
      <c r="B68" s="6"/>
    </row>
    <row r="69" spans="2:2" x14ac:dyDescent="0.25">
      <c r="B69" s="6"/>
    </row>
    <row r="70" spans="2:2" x14ac:dyDescent="0.25">
      <c r="B70" s="6"/>
    </row>
    <row r="71" spans="2:2" x14ac:dyDescent="0.25">
      <c r="B71" s="6"/>
    </row>
    <row r="72" spans="2:2" x14ac:dyDescent="0.25">
      <c r="B72" s="6"/>
    </row>
    <row r="73" spans="2:2" x14ac:dyDescent="0.25">
      <c r="B73" s="6"/>
    </row>
    <row r="74" spans="2:2" x14ac:dyDescent="0.25">
      <c r="B74" s="6"/>
    </row>
    <row r="75" spans="2:2" x14ac:dyDescent="0.25">
      <c r="B75" s="6"/>
    </row>
    <row r="76" spans="2:2" x14ac:dyDescent="0.25">
      <c r="B76" s="6"/>
    </row>
    <row r="77" spans="2:2" x14ac:dyDescent="0.25">
      <c r="B77" s="6"/>
    </row>
    <row r="78" spans="2:2" x14ac:dyDescent="0.25">
      <c r="B78" s="6"/>
    </row>
    <row r="79" spans="2:2" x14ac:dyDescent="0.25">
      <c r="B79" s="6"/>
    </row>
    <row r="80" spans="2:2" x14ac:dyDescent="0.25">
      <c r="B80" s="6"/>
    </row>
    <row r="81" spans="2:2" x14ac:dyDescent="0.25">
      <c r="B81" s="6"/>
    </row>
    <row r="82" spans="2:2" x14ac:dyDescent="0.25">
      <c r="B82" s="6"/>
    </row>
    <row r="83" spans="2:2" x14ac:dyDescent="0.25">
      <c r="B83" s="2"/>
    </row>
    <row r="84" spans="2:2" x14ac:dyDescent="0.25">
      <c r="B84" s="2"/>
    </row>
    <row r="85" spans="2:2" x14ac:dyDescent="0.25">
      <c r="B85" s="2"/>
    </row>
    <row r="86" spans="2:2" x14ac:dyDescent="0.25">
      <c r="B86" s="2"/>
    </row>
    <row r="87" spans="2:2" x14ac:dyDescent="0.25">
      <c r="B87" s="2"/>
    </row>
    <row r="88" spans="2:2" x14ac:dyDescent="0.25">
      <c r="B88" s="2"/>
    </row>
    <row r="89" spans="2:2" x14ac:dyDescent="0.25">
      <c r="B89" s="2"/>
    </row>
    <row r="90" spans="2:2" x14ac:dyDescent="0.25">
      <c r="B90" s="2"/>
    </row>
    <row r="91" spans="2:2" x14ac:dyDescent="0.25">
      <c r="B91" s="2"/>
    </row>
    <row r="92" spans="2:2" x14ac:dyDescent="0.25">
      <c r="B92" s="2"/>
    </row>
    <row r="93" spans="2:2" x14ac:dyDescent="0.25">
      <c r="B93" s="6"/>
    </row>
    <row r="94" spans="2:2" x14ac:dyDescent="0.25">
      <c r="B94" s="6"/>
    </row>
    <row r="95" spans="2:2" x14ac:dyDescent="0.25">
      <c r="B95" s="6"/>
    </row>
    <row r="96" spans="2:2" x14ac:dyDescent="0.25">
      <c r="B96" s="6"/>
    </row>
    <row r="97" spans="2:2" x14ac:dyDescent="0.25">
      <c r="B97" s="6"/>
    </row>
    <row r="98" spans="2:2" x14ac:dyDescent="0.25">
      <c r="B98" s="6"/>
    </row>
    <row r="99" spans="2:2" x14ac:dyDescent="0.25">
      <c r="B99" s="6"/>
    </row>
    <row r="100" spans="2:2" x14ac:dyDescent="0.25">
      <c r="B100" s="6"/>
    </row>
    <row r="101" spans="2:2" x14ac:dyDescent="0.25">
      <c r="B101" s="7"/>
    </row>
    <row r="102" spans="2:2" x14ac:dyDescent="0.25">
      <c r="B102" s="6"/>
    </row>
    <row r="103" spans="2:2" x14ac:dyDescent="0.25">
      <c r="B103" s="6"/>
    </row>
    <row r="104" spans="2:2" x14ac:dyDescent="0.25">
      <c r="B104" s="6"/>
    </row>
    <row r="105" spans="2:2" x14ac:dyDescent="0.25">
      <c r="B105" s="6"/>
    </row>
    <row r="106" spans="2:2" x14ac:dyDescent="0.25">
      <c r="B106" s="6"/>
    </row>
    <row r="107" spans="2:2" x14ac:dyDescent="0.25">
      <c r="B107" s="6"/>
    </row>
    <row r="108" spans="2:2" x14ac:dyDescent="0.25">
      <c r="B108" s="6"/>
    </row>
    <row r="109" spans="2:2" x14ac:dyDescent="0.25">
      <c r="B109" s="6"/>
    </row>
    <row r="110" spans="2:2" x14ac:dyDescent="0.25">
      <c r="B110" s="6"/>
    </row>
    <row r="111" spans="2:2" x14ac:dyDescent="0.25">
      <c r="B111" s="6"/>
    </row>
    <row r="112" spans="2:2" x14ac:dyDescent="0.25">
      <c r="B112" s="6"/>
    </row>
    <row r="113" spans="2:2" x14ac:dyDescent="0.25">
      <c r="B113" s="6"/>
    </row>
    <row r="114" spans="2:2" x14ac:dyDescent="0.25">
      <c r="B114" s="6"/>
    </row>
    <row r="115" spans="2:2" x14ac:dyDescent="0.25">
      <c r="B115" s="6"/>
    </row>
    <row r="116" spans="2:2" x14ac:dyDescent="0.25">
      <c r="B116" s="6"/>
    </row>
    <row r="117" spans="2:2" x14ac:dyDescent="0.25">
      <c r="B117" s="6"/>
    </row>
    <row r="118" spans="2:2" x14ac:dyDescent="0.25">
      <c r="B118" s="6"/>
    </row>
    <row r="120" spans="2:2" x14ac:dyDescent="0.25">
      <c r="B120" s="6"/>
    </row>
    <row r="121" spans="2:2" x14ac:dyDescent="0.25">
      <c r="B121" s="6"/>
    </row>
    <row r="122" spans="2:2" x14ac:dyDescent="0.25">
      <c r="B122" s="6"/>
    </row>
    <row r="127" spans="2:2" x14ac:dyDescent="0.25">
      <c r="B127" s="3"/>
    </row>
    <row r="128" spans="2:2" x14ac:dyDescent="0.25">
      <c r="B128" s="5"/>
    </row>
    <row r="134" spans="2:2" x14ac:dyDescent="0.25">
      <c r="B134" s="12"/>
    </row>
    <row r="135" spans="2:2" x14ac:dyDescent="0.25">
      <c r="B135" s="6"/>
    </row>
    <row r="137" spans="2:2" x14ac:dyDescent="0.25">
      <c r="B137" s="6"/>
    </row>
    <row r="138" spans="2:2" x14ac:dyDescent="0.25">
      <c r="B138" s="6"/>
    </row>
    <row r="139" spans="2:2" x14ac:dyDescent="0.25">
      <c r="B139" s="6"/>
    </row>
    <row r="140" spans="2:2" x14ac:dyDescent="0.25">
      <c r="B140" s="6"/>
    </row>
    <row r="141" spans="2:2" x14ac:dyDescent="0.25">
      <c r="B141" s="6"/>
    </row>
    <row r="142" spans="2:2" x14ac:dyDescent="0.25">
      <c r="B142" s="6"/>
    </row>
    <row r="143" spans="2:2" x14ac:dyDescent="0.25">
      <c r="B143" s="6"/>
    </row>
    <row r="144" spans="2:2" x14ac:dyDescent="0.25">
      <c r="B144" s="6"/>
    </row>
    <row r="145" spans="2:2" x14ac:dyDescent="0.25">
      <c r="B145" s="6"/>
    </row>
    <row r="146" spans="2:2" x14ac:dyDescent="0.25">
      <c r="B146" s="6"/>
    </row>
    <row r="147" spans="2:2" x14ac:dyDescent="0.25">
      <c r="B147" s="6"/>
    </row>
    <row r="148" spans="2:2" x14ac:dyDescent="0.25">
      <c r="B148" s="6"/>
    </row>
    <row r="245" spans="2:2" x14ac:dyDescent="0.25">
      <c r="B245" s="11"/>
    </row>
    <row r="246" spans="2:2" x14ac:dyDescent="0.25">
      <c r="B246" s="6"/>
    </row>
    <row r="247" spans="2:2" x14ac:dyDescent="0.25">
      <c r="B247" s="6"/>
    </row>
    <row r="250" spans="2:2" x14ac:dyDescent="0.25">
      <c r="B250" s="6"/>
    </row>
    <row r="266" spans="2:2" x14ac:dyDescent="0.25">
      <c r="B266" s="11"/>
    </row>
    <row r="296" spans="2:2" x14ac:dyDescent="0.25">
      <c r="B296" s="3"/>
    </row>
    <row r="297" spans="2:2" x14ac:dyDescent="0.25">
      <c r="B297" s="6"/>
    </row>
    <row r="299" spans="2:2" x14ac:dyDescent="0.25">
      <c r="B299" s="6"/>
    </row>
    <row r="300" spans="2:2" x14ac:dyDescent="0.25">
      <c r="B300" s="6"/>
    </row>
    <row r="301" spans="2:2" x14ac:dyDescent="0.25">
      <c r="B301" s="6"/>
    </row>
    <row r="302" spans="2:2" x14ac:dyDescent="0.25">
      <c r="B302" s="6"/>
    </row>
    <row r="303" spans="2:2" x14ac:dyDescent="0.25">
      <c r="B303" s="6"/>
    </row>
    <row r="304" spans="2:2" x14ac:dyDescent="0.25">
      <c r="B304" s="6"/>
    </row>
    <row r="305" spans="2:2" x14ac:dyDescent="0.25">
      <c r="B305" s="6"/>
    </row>
    <row r="306" spans="2:2" x14ac:dyDescent="0.25">
      <c r="B306" s="6"/>
    </row>
    <row r="307" spans="2:2" x14ac:dyDescent="0.25">
      <c r="B307" s="6"/>
    </row>
    <row r="308" spans="2:2" x14ac:dyDescent="0.25">
      <c r="B308" s="6"/>
    </row>
    <row r="309" spans="2:2" x14ac:dyDescent="0.25">
      <c r="B309" s="6"/>
    </row>
    <row r="310" spans="2:2" x14ac:dyDescent="0.25">
      <c r="B310" s="6"/>
    </row>
    <row r="322" spans="2:2" x14ac:dyDescent="0.25">
      <c r="B322" s="6"/>
    </row>
    <row r="323" spans="2:2" x14ac:dyDescent="0.25">
      <c r="B323" s="6"/>
    </row>
    <row r="324" spans="2:2" x14ac:dyDescent="0.25">
      <c r="B324" s="6"/>
    </row>
    <row r="325" spans="2:2" x14ac:dyDescent="0.25">
      <c r="B325" s="6"/>
    </row>
    <row r="326" spans="2:2" x14ac:dyDescent="0.25">
      <c r="B326" s="6"/>
    </row>
    <row r="327" spans="2:2" x14ac:dyDescent="0.25">
      <c r="B327" s="6"/>
    </row>
    <row r="328" spans="2:2" x14ac:dyDescent="0.25">
      <c r="B328" s="6"/>
    </row>
    <row r="329" spans="2:2" x14ac:dyDescent="0.25">
      <c r="B329" s="6"/>
    </row>
    <row r="330" spans="2:2" x14ac:dyDescent="0.25">
      <c r="B330" s="6"/>
    </row>
    <row r="332" spans="2:2" x14ac:dyDescent="0.25">
      <c r="B332" s="6"/>
    </row>
    <row r="333" spans="2:2" x14ac:dyDescent="0.25">
      <c r="B333" s="6"/>
    </row>
    <row r="334" spans="2:2" x14ac:dyDescent="0.25">
      <c r="B334" s="6"/>
    </row>
    <row r="335" spans="2:2" x14ac:dyDescent="0.25">
      <c r="B335" s="6"/>
    </row>
    <row r="336" spans="2:2" x14ac:dyDescent="0.25">
      <c r="B336" s="6"/>
    </row>
    <row r="338" spans="2:2" x14ac:dyDescent="0.25">
      <c r="B338" s="6"/>
    </row>
    <row r="341" spans="2:2" x14ac:dyDescent="0.25">
      <c r="B341" s="6"/>
    </row>
    <row r="344" spans="2:2" x14ac:dyDescent="0.25">
      <c r="B344" s="6"/>
    </row>
    <row r="345" spans="2:2" x14ac:dyDescent="0.25">
      <c r="B345" s="6"/>
    </row>
    <row r="346" spans="2:2" x14ac:dyDescent="0.25">
      <c r="B346" s="6"/>
    </row>
    <row r="347" spans="2:2" x14ac:dyDescent="0.25">
      <c r="B347" s="6"/>
    </row>
    <row r="348" spans="2:2" x14ac:dyDescent="0.25">
      <c r="B348" s="6"/>
    </row>
    <row r="349" spans="2:2" x14ac:dyDescent="0.25">
      <c r="B349" s="6"/>
    </row>
    <row r="350" spans="2:2" x14ac:dyDescent="0.25">
      <c r="B350" s="6"/>
    </row>
    <row r="351" spans="2:2" x14ac:dyDescent="0.25">
      <c r="B351" s="6"/>
    </row>
    <row r="352" spans="2:2" x14ac:dyDescent="0.25">
      <c r="B352" s="6"/>
    </row>
    <row r="353" spans="2:2" x14ac:dyDescent="0.25">
      <c r="B353" s="6"/>
    </row>
    <row r="354" spans="2:2" x14ac:dyDescent="0.25">
      <c r="B354" s="6"/>
    </row>
    <row r="355" spans="2:2" x14ac:dyDescent="0.25">
      <c r="B355" s="6"/>
    </row>
    <row r="356" spans="2:2" x14ac:dyDescent="0.25">
      <c r="B356" s="6"/>
    </row>
    <row r="357" spans="2:2" x14ac:dyDescent="0.25">
      <c r="B357" s="6"/>
    </row>
    <row r="358" spans="2:2" x14ac:dyDescent="0.25">
      <c r="B358" s="6"/>
    </row>
    <row r="359" spans="2:2" x14ac:dyDescent="0.25">
      <c r="B359" s="6"/>
    </row>
    <row r="360" spans="2:2" x14ac:dyDescent="0.25">
      <c r="B360" s="6"/>
    </row>
    <row r="361" spans="2:2" x14ac:dyDescent="0.25">
      <c r="B361" s="6"/>
    </row>
    <row r="362" spans="2:2" x14ac:dyDescent="0.25">
      <c r="B362" s="6"/>
    </row>
    <row r="366" spans="2:2" x14ac:dyDescent="0.25">
      <c r="B366" s="3"/>
    </row>
    <row r="383" spans="2:2" x14ac:dyDescent="0.25">
      <c r="B383" s="14"/>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Normal="100" workbookViewId="0">
      <selection activeCell="C93" sqref="C93"/>
    </sheetView>
  </sheetViews>
  <sheetFormatPr defaultColWidth="8.85546875" defaultRowHeight="15" outlineLevelRow="1" x14ac:dyDescent="0.25"/>
  <cols>
    <col min="1" max="1" width="13.28515625" style="90" customWidth="1"/>
    <col min="2" max="2" width="60.5703125" style="90" bestFit="1" customWidth="1"/>
    <col min="3" max="7" width="24.28515625" style="90" customWidth="1"/>
    <col min="8" max="8" width="7.28515625" style="90" customWidth="1"/>
    <col min="9" max="9" width="38.140625" style="90" customWidth="1"/>
    <col min="10" max="11" width="47.7109375" style="90" customWidth="1"/>
    <col min="12" max="12" width="7.28515625" style="90" customWidth="1"/>
    <col min="13" max="13" width="25.7109375" style="90" customWidth="1"/>
    <col min="14" max="14" width="25.7109375" style="52" customWidth="1"/>
    <col min="15" max="16384" width="8.85546875" style="51"/>
  </cols>
  <sheetData>
    <row r="1" spans="1:13" ht="23.25" customHeight="1" x14ac:dyDescent="0.25">
      <c r="A1" s="130" t="s">
        <v>1120</v>
      </c>
      <c r="B1" s="130"/>
    </row>
    <row r="2" spans="1:13" ht="31.5" x14ac:dyDescent="0.25">
      <c r="A2" s="19" t="s">
        <v>1121</v>
      </c>
      <c r="B2" s="19"/>
      <c r="C2" s="52"/>
      <c r="D2" s="52"/>
      <c r="E2" s="52"/>
      <c r="F2" s="42"/>
      <c r="G2" s="42"/>
      <c r="H2" s="52"/>
      <c r="I2" s="19"/>
      <c r="J2" s="52"/>
      <c r="K2" s="52"/>
      <c r="L2" s="52"/>
      <c r="M2" s="52"/>
    </row>
    <row r="3" spans="1:13" ht="15.75" thickBot="1" x14ac:dyDescent="0.3">
      <c r="A3" s="52"/>
      <c r="B3" s="92"/>
      <c r="C3" s="92"/>
      <c r="D3" s="52"/>
      <c r="E3" s="52"/>
      <c r="F3" s="52"/>
      <c r="G3" s="52"/>
      <c r="H3" s="52"/>
      <c r="L3" s="52"/>
      <c r="M3" s="52"/>
    </row>
    <row r="4" spans="1:13" ht="38.25" thickBot="1" x14ac:dyDescent="0.3">
      <c r="A4" s="44"/>
      <c r="B4" s="43" t="s">
        <v>128</v>
      </c>
      <c r="C4" s="93" t="s">
        <v>1062</v>
      </c>
      <c r="D4" s="44"/>
      <c r="E4" s="44"/>
      <c r="F4" s="52"/>
      <c r="G4" s="52"/>
      <c r="H4" s="52"/>
      <c r="I4" s="18" t="s">
        <v>1122</v>
      </c>
      <c r="J4" s="17" t="s">
        <v>162</v>
      </c>
      <c r="L4" s="52"/>
      <c r="M4" s="52"/>
    </row>
    <row r="5" spans="1:13" ht="15.75" thickBot="1" x14ac:dyDescent="0.3">
      <c r="H5" s="52"/>
      <c r="I5" s="122" t="s">
        <v>163</v>
      </c>
      <c r="J5" s="90" t="s">
        <v>185</v>
      </c>
      <c r="L5" s="52"/>
      <c r="M5" s="52"/>
    </row>
    <row r="6" spans="1:13" ht="30" x14ac:dyDescent="0.25">
      <c r="A6" s="61"/>
      <c r="B6" s="79" t="s">
        <v>1123</v>
      </c>
      <c r="C6" s="61"/>
      <c r="E6" s="3"/>
      <c r="F6" s="3"/>
      <c r="G6" s="3"/>
      <c r="H6" s="52"/>
      <c r="I6" s="122" t="s">
        <v>164</v>
      </c>
      <c r="J6" s="90" t="s">
        <v>186</v>
      </c>
      <c r="L6" s="52"/>
      <c r="M6" s="52"/>
    </row>
    <row r="7" spans="1:13" x14ac:dyDescent="0.25">
      <c r="B7" s="76" t="s">
        <v>1124</v>
      </c>
      <c r="H7" s="52"/>
      <c r="I7" s="122" t="s">
        <v>165</v>
      </c>
      <c r="J7" s="90" t="s">
        <v>187</v>
      </c>
      <c r="L7" s="52"/>
      <c r="M7" s="52"/>
    </row>
    <row r="8" spans="1:13" x14ac:dyDescent="0.25">
      <c r="B8" s="76" t="s">
        <v>1125</v>
      </c>
      <c r="H8" s="52"/>
      <c r="I8" s="122" t="s">
        <v>1126</v>
      </c>
      <c r="J8" s="90" t="s">
        <v>1127</v>
      </c>
      <c r="L8" s="52"/>
      <c r="M8" s="52"/>
    </row>
    <row r="9" spans="1:13" ht="15.75" thickBot="1" x14ac:dyDescent="0.3">
      <c r="B9" s="77" t="s">
        <v>1128</v>
      </c>
      <c r="H9" s="52"/>
      <c r="L9" s="52"/>
      <c r="M9" s="52"/>
    </row>
    <row r="10" spans="1:13" ht="30" x14ac:dyDescent="0.25">
      <c r="B10" s="66"/>
      <c r="H10" s="52"/>
      <c r="I10" s="123" t="s">
        <v>1129</v>
      </c>
      <c r="L10" s="52"/>
      <c r="M10" s="52"/>
    </row>
    <row r="11" spans="1:13" ht="30" x14ac:dyDescent="0.25">
      <c r="B11" s="66"/>
      <c r="H11" s="52"/>
      <c r="I11" s="123" t="s">
        <v>1130</v>
      </c>
      <c r="L11" s="52"/>
      <c r="M11" s="52"/>
    </row>
    <row r="12" spans="1:13" ht="37.5" x14ac:dyDescent="0.25">
      <c r="A12" s="18" t="s">
        <v>223</v>
      </c>
      <c r="B12" s="18" t="s">
        <v>1131</v>
      </c>
      <c r="C12" s="15"/>
      <c r="D12" s="15"/>
      <c r="E12" s="15"/>
      <c r="F12" s="15"/>
      <c r="G12" s="15"/>
      <c r="H12" s="52"/>
      <c r="L12" s="52"/>
      <c r="M12" s="52"/>
    </row>
    <row r="13" spans="1:13" ht="15" customHeight="1" x14ac:dyDescent="0.25">
      <c r="A13" s="58"/>
      <c r="B13" s="60" t="s">
        <v>1132</v>
      </c>
      <c r="C13" s="58" t="s">
        <v>1133</v>
      </c>
      <c r="D13" s="58" t="s">
        <v>1134</v>
      </c>
      <c r="E13" s="46"/>
      <c r="F13" s="59"/>
      <c r="G13" s="59"/>
      <c r="H13" s="52"/>
      <c r="L13" s="52"/>
      <c r="M13" s="52"/>
    </row>
    <row r="14" spans="1:13" x14ac:dyDescent="0.25">
      <c r="A14" s="90" t="s">
        <v>1135</v>
      </c>
      <c r="B14" s="86" t="s">
        <v>1136</v>
      </c>
      <c r="C14" s="90" t="s">
        <v>186</v>
      </c>
      <c r="D14" s="90" t="s">
        <v>186</v>
      </c>
      <c r="E14" s="3"/>
      <c r="F14" s="3"/>
      <c r="G14" s="3"/>
      <c r="H14" s="52"/>
      <c r="L14" s="52"/>
      <c r="M14" s="52"/>
    </row>
    <row r="15" spans="1:13" x14ac:dyDescent="0.25">
      <c r="A15" s="90" t="s">
        <v>1137</v>
      </c>
      <c r="B15" s="86" t="s">
        <v>195</v>
      </c>
      <c r="C15" s="90" t="s">
        <v>186</v>
      </c>
      <c r="D15" s="90" t="s">
        <v>186</v>
      </c>
      <c r="E15" s="3"/>
      <c r="F15" s="3"/>
      <c r="G15" s="3"/>
      <c r="H15" s="52"/>
      <c r="L15" s="52"/>
      <c r="M15" s="52"/>
    </row>
    <row r="16" spans="1:13" x14ac:dyDescent="0.25">
      <c r="A16" s="90" t="s">
        <v>1138</v>
      </c>
      <c r="B16" s="86" t="s">
        <v>1139</v>
      </c>
      <c r="C16" s="90" t="s">
        <v>186</v>
      </c>
      <c r="D16" s="90" t="s">
        <v>186</v>
      </c>
      <c r="E16" s="3"/>
      <c r="F16" s="3"/>
      <c r="G16" s="3"/>
      <c r="H16" s="52"/>
      <c r="L16" s="52"/>
      <c r="M16" s="52"/>
    </row>
    <row r="17" spans="1:13" x14ac:dyDescent="0.25">
      <c r="A17" s="90" t="s">
        <v>1140</v>
      </c>
      <c r="B17" s="86" t="s">
        <v>1141</v>
      </c>
      <c r="C17" s="90" t="s">
        <v>186</v>
      </c>
      <c r="D17" s="90" t="s">
        <v>186</v>
      </c>
      <c r="E17" s="3"/>
      <c r="F17" s="3"/>
      <c r="G17" s="3"/>
      <c r="H17" s="52"/>
      <c r="L17" s="52"/>
      <c r="M17" s="52"/>
    </row>
    <row r="18" spans="1:13" x14ac:dyDescent="0.25">
      <c r="A18" s="90" t="s">
        <v>1142</v>
      </c>
      <c r="B18" s="86" t="s">
        <v>1143</v>
      </c>
      <c r="C18" s="90" t="s">
        <v>186</v>
      </c>
      <c r="D18" s="90" t="s">
        <v>186</v>
      </c>
      <c r="E18" s="3"/>
      <c r="F18" s="3"/>
      <c r="G18" s="3"/>
      <c r="H18" s="52"/>
      <c r="L18" s="52"/>
      <c r="M18" s="52"/>
    </row>
    <row r="19" spans="1:13" x14ac:dyDescent="0.25">
      <c r="A19" s="90" t="s">
        <v>1144</v>
      </c>
      <c r="B19" s="86" t="s">
        <v>1145</v>
      </c>
      <c r="C19" s="90" t="s">
        <v>186</v>
      </c>
      <c r="D19" s="90" t="s">
        <v>186</v>
      </c>
      <c r="E19" s="3"/>
      <c r="F19" s="3"/>
      <c r="G19" s="3"/>
      <c r="H19" s="52"/>
      <c r="L19" s="52"/>
      <c r="M19" s="52"/>
    </row>
    <row r="20" spans="1:13" x14ac:dyDescent="0.25">
      <c r="A20" s="90" t="s">
        <v>1146</v>
      </c>
      <c r="B20" s="86" t="s">
        <v>1147</v>
      </c>
      <c r="C20" s="90" t="s">
        <v>186</v>
      </c>
      <c r="D20" s="90" t="s">
        <v>186</v>
      </c>
      <c r="E20" s="3"/>
      <c r="F20" s="3"/>
      <c r="G20" s="3"/>
      <c r="H20" s="52"/>
      <c r="L20" s="52"/>
      <c r="M20" s="52"/>
    </row>
    <row r="21" spans="1:13" x14ac:dyDescent="0.25">
      <c r="A21" s="90" t="s">
        <v>1148</v>
      </c>
      <c r="B21" s="86" t="s">
        <v>1149</v>
      </c>
      <c r="C21" s="90" t="s">
        <v>186</v>
      </c>
      <c r="D21" s="90" t="s">
        <v>186</v>
      </c>
      <c r="E21" s="3"/>
      <c r="F21" s="3"/>
      <c r="G21" s="3"/>
      <c r="H21" s="52"/>
      <c r="L21" s="52"/>
      <c r="M21" s="52"/>
    </row>
    <row r="22" spans="1:13" x14ac:dyDescent="0.25">
      <c r="A22" s="90" t="s">
        <v>1150</v>
      </c>
      <c r="B22" s="86" t="s">
        <v>1151</v>
      </c>
      <c r="C22" s="90" t="s">
        <v>186</v>
      </c>
      <c r="D22" s="90" t="s">
        <v>186</v>
      </c>
      <c r="E22" s="3"/>
      <c r="F22" s="3"/>
      <c r="G22" s="3"/>
      <c r="H22" s="52"/>
      <c r="L22" s="52"/>
      <c r="M22" s="52"/>
    </row>
    <row r="23" spans="1:13" x14ac:dyDescent="0.25">
      <c r="A23" s="90" t="s">
        <v>1152</v>
      </c>
      <c r="B23" s="86" t="s">
        <v>1153</v>
      </c>
      <c r="C23" s="90" t="s">
        <v>186</v>
      </c>
      <c r="D23" s="90" t="s">
        <v>186</v>
      </c>
      <c r="E23" s="3"/>
      <c r="F23" s="3"/>
      <c r="G23" s="3"/>
      <c r="H23" s="52"/>
      <c r="L23" s="52"/>
      <c r="M23" s="52"/>
    </row>
    <row r="24" spans="1:13" x14ac:dyDescent="0.25">
      <c r="A24" s="90" t="s">
        <v>1154</v>
      </c>
      <c r="B24" s="86" t="s">
        <v>1155</v>
      </c>
      <c r="C24" s="81" t="s">
        <v>1156</v>
      </c>
      <c r="D24" s="90" t="s">
        <v>186</v>
      </c>
      <c r="E24" s="3"/>
      <c r="F24" s="3"/>
      <c r="G24" s="3"/>
      <c r="H24" s="52"/>
      <c r="L24" s="52"/>
      <c r="M24" s="52"/>
    </row>
    <row r="25" spans="1:13" hidden="1" outlineLevel="1" x14ac:dyDescent="0.25">
      <c r="A25" s="90" t="s">
        <v>1157</v>
      </c>
      <c r="B25" s="91"/>
      <c r="E25" s="3"/>
      <c r="F25" s="3"/>
      <c r="G25" s="3"/>
      <c r="H25" s="52"/>
      <c r="L25" s="52"/>
      <c r="M25" s="52"/>
    </row>
    <row r="26" spans="1:13" hidden="1" outlineLevel="1" x14ac:dyDescent="0.25">
      <c r="A26" s="90" t="s">
        <v>1158</v>
      </c>
      <c r="B26" s="91"/>
      <c r="E26" s="3"/>
      <c r="F26" s="3"/>
      <c r="G26" s="3"/>
      <c r="H26" s="52"/>
      <c r="L26" s="52"/>
      <c r="M26" s="52"/>
    </row>
    <row r="27" spans="1:13" hidden="1" outlineLevel="1" x14ac:dyDescent="0.25">
      <c r="A27" s="90" t="s">
        <v>1159</v>
      </c>
      <c r="B27" s="91"/>
      <c r="E27" s="3"/>
      <c r="F27" s="3"/>
      <c r="G27" s="3"/>
      <c r="H27" s="52"/>
      <c r="L27" s="52"/>
      <c r="M27" s="52"/>
    </row>
    <row r="28" spans="1:13" hidden="1" outlineLevel="1" x14ac:dyDescent="0.25">
      <c r="A28" s="90" t="s">
        <v>1160</v>
      </c>
      <c r="B28" s="91"/>
      <c r="E28" s="3"/>
      <c r="F28" s="3"/>
      <c r="G28" s="3"/>
      <c r="H28" s="52"/>
      <c r="L28" s="52"/>
      <c r="M28" s="52"/>
    </row>
    <row r="29" spans="1:13" hidden="1" outlineLevel="1" x14ac:dyDescent="0.25">
      <c r="A29" s="90" t="s">
        <v>1161</v>
      </c>
      <c r="B29" s="91"/>
      <c r="E29" s="3"/>
      <c r="F29" s="3"/>
      <c r="G29" s="3"/>
      <c r="H29" s="52"/>
      <c r="L29" s="52"/>
      <c r="M29" s="52"/>
    </row>
    <row r="30" spans="1:13" hidden="1" outlineLevel="1" x14ac:dyDescent="0.25">
      <c r="A30" s="90" t="s">
        <v>1162</v>
      </c>
      <c r="B30" s="91"/>
      <c r="E30" s="3"/>
      <c r="F30" s="3"/>
      <c r="G30" s="3"/>
      <c r="H30" s="52"/>
      <c r="L30" s="52"/>
      <c r="M30" s="52"/>
    </row>
    <row r="31" spans="1:13" hidden="1" outlineLevel="1" x14ac:dyDescent="0.25">
      <c r="A31" s="90" t="s">
        <v>1163</v>
      </c>
      <c r="B31" s="91"/>
      <c r="E31" s="3"/>
      <c r="F31" s="3"/>
      <c r="G31" s="3"/>
      <c r="H31" s="52"/>
      <c r="L31" s="52"/>
      <c r="M31" s="52"/>
    </row>
    <row r="32" spans="1:13" hidden="1" outlineLevel="1" x14ac:dyDescent="0.25">
      <c r="A32" s="90" t="s">
        <v>1164</v>
      </c>
      <c r="B32" s="91"/>
      <c r="E32" s="3"/>
      <c r="F32" s="3"/>
      <c r="G32" s="3"/>
      <c r="H32" s="52"/>
      <c r="L32" s="52"/>
      <c r="M32" s="52"/>
    </row>
    <row r="33" spans="1:13" ht="18.75" collapsed="1" x14ac:dyDescent="0.25">
      <c r="A33" s="15"/>
      <c r="B33" s="18" t="s">
        <v>1125</v>
      </c>
      <c r="C33" s="15"/>
      <c r="D33" s="15"/>
      <c r="E33" s="15"/>
      <c r="F33" s="15"/>
      <c r="G33" s="15"/>
      <c r="H33" s="52"/>
      <c r="L33" s="52"/>
      <c r="M33" s="52"/>
    </row>
    <row r="34" spans="1:13" ht="15" customHeight="1" x14ac:dyDescent="0.25">
      <c r="A34" s="58"/>
      <c r="B34" s="60" t="s">
        <v>1165</v>
      </c>
      <c r="C34" s="58" t="s">
        <v>1166</v>
      </c>
      <c r="D34" s="58" t="s">
        <v>1134</v>
      </c>
      <c r="E34" s="58" t="s">
        <v>1167</v>
      </c>
      <c r="F34" s="59"/>
      <c r="G34" s="59"/>
      <c r="H34" s="52"/>
      <c r="L34" s="52"/>
      <c r="M34" s="52"/>
    </row>
    <row r="35" spans="1:13" x14ac:dyDescent="0.25">
      <c r="A35" s="90" t="s">
        <v>1168</v>
      </c>
      <c r="B35" s="86" t="s">
        <v>1169</v>
      </c>
      <c r="C35" s="90" t="s">
        <v>186</v>
      </c>
      <c r="D35" s="90" t="s">
        <v>186</v>
      </c>
      <c r="E35" s="90" t="s">
        <v>186</v>
      </c>
      <c r="F35" s="124"/>
      <c r="G35" s="124"/>
      <c r="H35" s="52"/>
      <c r="L35" s="52"/>
      <c r="M35" s="52"/>
    </row>
    <row r="36" spans="1:13" x14ac:dyDescent="0.25">
      <c r="A36" s="90" t="s">
        <v>1170</v>
      </c>
      <c r="B36" s="86" t="s">
        <v>1171</v>
      </c>
      <c r="C36" s="90" t="s">
        <v>186</v>
      </c>
      <c r="D36" s="90" t="s">
        <v>186</v>
      </c>
      <c r="E36" s="90" t="s">
        <v>186</v>
      </c>
      <c r="H36" s="52"/>
      <c r="L36" s="52"/>
      <c r="M36" s="52"/>
    </row>
    <row r="37" spans="1:13" x14ac:dyDescent="0.25">
      <c r="A37" s="90" t="s">
        <v>1172</v>
      </c>
      <c r="B37" s="86" t="s">
        <v>1173</v>
      </c>
      <c r="C37" s="90" t="s">
        <v>186</v>
      </c>
      <c r="D37" s="90" t="s">
        <v>186</v>
      </c>
      <c r="E37" s="90" t="s">
        <v>186</v>
      </c>
      <c r="H37" s="52"/>
      <c r="L37" s="52"/>
      <c r="M37" s="52"/>
    </row>
    <row r="38" spans="1:13" x14ac:dyDescent="0.25">
      <c r="A38" s="90" t="s">
        <v>1174</v>
      </c>
      <c r="B38" s="86" t="s">
        <v>1175</v>
      </c>
      <c r="C38" s="90" t="s">
        <v>186</v>
      </c>
      <c r="D38" s="90" t="s">
        <v>186</v>
      </c>
      <c r="E38" s="90" t="s">
        <v>186</v>
      </c>
      <c r="H38" s="52"/>
      <c r="L38" s="52"/>
      <c r="M38" s="52"/>
    </row>
    <row r="39" spans="1:13" x14ac:dyDescent="0.25">
      <c r="A39" s="90" t="s">
        <v>1176</v>
      </c>
      <c r="B39" s="86" t="s">
        <v>1177</v>
      </c>
      <c r="C39" s="90" t="s">
        <v>186</v>
      </c>
      <c r="D39" s="90" t="s">
        <v>186</v>
      </c>
      <c r="E39" s="90" t="s">
        <v>186</v>
      </c>
      <c r="H39" s="52"/>
      <c r="L39" s="52"/>
      <c r="M39" s="52"/>
    </row>
    <row r="40" spans="1:13" x14ac:dyDescent="0.25">
      <c r="A40" s="90" t="s">
        <v>1178</v>
      </c>
      <c r="B40" s="86" t="s">
        <v>1179</v>
      </c>
      <c r="C40" s="90" t="s">
        <v>186</v>
      </c>
      <c r="D40" s="90" t="s">
        <v>186</v>
      </c>
      <c r="E40" s="90" t="s">
        <v>186</v>
      </c>
      <c r="H40" s="52"/>
      <c r="L40" s="52"/>
      <c r="M40" s="52"/>
    </row>
    <row r="41" spans="1:13" x14ac:dyDescent="0.25">
      <c r="A41" s="90" t="s">
        <v>1180</v>
      </c>
      <c r="B41" s="86" t="s">
        <v>1181</v>
      </c>
      <c r="C41" s="90" t="s">
        <v>186</v>
      </c>
      <c r="D41" s="90" t="s">
        <v>186</v>
      </c>
      <c r="E41" s="90" t="s">
        <v>186</v>
      </c>
      <c r="H41" s="52"/>
      <c r="L41" s="52"/>
      <c r="M41" s="52"/>
    </row>
    <row r="42" spans="1:13" x14ac:dyDescent="0.25">
      <c r="A42" s="90" t="s">
        <v>1182</v>
      </c>
      <c r="B42" s="86" t="s">
        <v>1183</v>
      </c>
      <c r="C42" s="90" t="s">
        <v>186</v>
      </c>
      <c r="D42" s="90" t="s">
        <v>186</v>
      </c>
      <c r="E42" s="90" t="s">
        <v>186</v>
      </c>
      <c r="H42" s="52"/>
      <c r="L42" s="52"/>
      <c r="M42" s="52"/>
    </row>
    <row r="43" spans="1:13" x14ac:dyDescent="0.25">
      <c r="A43" s="90" t="s">
        <v>1184</v>
      </c>
      <c r="B43" s="86" t="s">
        <v>1185</v>
      </c>
      <c r="C43" s="90" t="s">
        <v>186</v>
      </c>
      <c r="D43" s="90" t="s">
        <v>186</v>
      </c>
      <c r="E43" s="90" t="s">
        <v>186</v>
      </c>
      <c r="H43" s="52"/>
      <c r="L43" s="52"/>
      <c r="M43" s="52"/>
    </row>
    <row r="44" spans="1:13" x14ac:dyDescent="0.25">
      <c r="A44" s="90" t="s">
        <v>1186</v>
      </c>
      <c r="B44" s="86" t="s">
        <v>1187</v>
      </c>
      <c r="C44" s="90" t="s">
        <v>186</v>
      </c>
      <c r="D44" s="90" t="s">
        <v>186</v>
      </c>
      <c r="E44" s="90" t="s">
        <v>186</v>
      </c>
      <c r="H44" s="52"/>
      <c r="L44" s="52"/>
      <c r="M44" s="52"/>
    </row>
    <row r="45" spans="1:13" x14ac:dyDescent="0.25">
      <c r="A45" s="90" t="s">
        <v>1188</v>
      </c>
      <c r="B45" s="86" t="s">
        <v>1189</v>
      </c>
      <c r="C45" s="90" t="s">
        <v>186</v>
      </c>
      <c r="D45" s="90" t="s">
        <v>186</v>
      </c>
      <c r="E45" s="90" t="s">
        <v>186</v>
      </c>
      <c r="H45" s="52"/>
      <c r="L45" s="52"/>
      <c r="M45" s="52"/>
    </row>
    <row r="46" spans="1:13" x14ac:dyDescent="0.25">
      <c r="A46" s="90" t="s">
        <v>1190</v>
      </c>
      <c r="B46" s="86" t="s">
        <v>1191</v>
      </c>
      <c r="C46" s="90" t="s">
        <v>186</v>
      </c>
      <c r="D46" s="90" t="s">
        <v>186</v>
      </c>
      <c r="E46" s="90" t="s">
        <v>186</v>
      </c>
      <c r="H46" s="52"/>
      <c r="L46" s="52"/>
      <c r="M46" s="52"/>
    </row>
    <row r="47" spans="1:13" x14ac:dyDescent="0.25">
      <c r="A47" s="90" t="s">
        <v>1192</v>
      </c>
      <c r="B47" s="86" t="s">
        <v>1193</v>
      </c>
      <c r="C47" s="90" t="s">
        <v>186</v>
      </c>
      <c r="D47" s="90" t="s">
        <v>186</v>
      </c>
      <c r="E47" s="90" t="s">
        <v>186</v>
      </c>
      <c r="H47" s="52"/>
      <c r="L47" s="52"/>
      <c r="M47" s="52"/>
    </row>
    <row r="48" spans="1:13" x14ac:dyDescent="0.25">
      <c r="A48" s="90" t="s">
        <v>1194</v>
      </c>
      <c r="B48" s="86" t="s">
        <v>1195</v>
      </c>
      <c r="C48" s="90" t="s">
        <v>186</v>
      </c>
      <c r="D48" s="90" t="s">
        <v>186</v>
      </c>
      <c r="E48" s="90" t="s">
        <v>186</v>
      </c>
      <c r="H48" s="52"/>
      <c r="L48" s="52"/>
      <c r="M48" s="52"/>
    </row>
    <row r="49" spans="1:13" x14ac:dyDescent="0.25">
      <c r="A49" s="90" t="s">
        <v>1196</v>
      </c>
      <c r="B49" s="86" t="s">
        <v>1197</v>
      </c>
      <c r="C49" s="90" t="s">
        <v>186</v>
      </c>
      <c r="D49" s="90" t="s">
        <v>186</v>
      </c>
      <c r="E49" s="90" t="s">
        <v>186</v>
      </c>
      <c r="H49" s="52"/>
      <c r="L49" s="52"/>
      <c r="M49" s="52"/>
    </row>
    <row r="50" spans="1:13" x14ac:dyDescent="0.25">
      <c r="A50" s="90" t="s">
        <v>1198</v>
      </c>
      <c r="B50" s="86" t="s">
        <v>1199</v>
      </c>
      <c r="C50" s="90" t="s">
        <v>186</v>
      </c>
      <c r="D50" s="90" t="s">
        <v>186</v>
      </c>
      <c r="E50" s="90" t="s">
        <v>186</v>
      </c>
      <c r="H50" s="52"/>
      <c r="L50" s="52"/>
      <c r="M50" s="52"/>
    </row>
    <row r="51" spans="1:13" x14ac:dyDescent="0.25">
      <c r="A51" s="90" t="s">
        <v>1200</v>
      </c>
      <c r="B51" s="86" t="s">
        <v>1201</v>
      </c>
      <c r="C51" s="90" t="s">
        <v>186</v>
      </c>
      <c r="D51" s="90" t="s">
        <v>186</v>
      </c>
      <c r="E51" s="90" t="s">
        <v>186</v>
      </c>
      <c r="H51" s="52"/>
      <c r="L51" s="52"/>
      <c r="M51" s="52"/>
    </row>
    <row r="52" spans="1:13" x14ac:dyDescent="0.25">
      <c r="A52" s="90" t="s">
        <v>1202</v>
      </c>
      <c r="B52" s="86" t="s">
        <v>1203</v>
      </c>
      <c r="C52" s="90" t="s">
        <v>186</v>
      </c>
      <c r="D52" s="90" t="s">
        <v>186</v>
      </c>
      <c r="E52" s="90" t="s">
        <v>186</v>
      </c>
      <c r="H52" s="52"/>
      <c r="L52" s="52"/>
      <c r="M52" s="52"/>
    </row>
    <row r="53" spans="1:13" x14ac:dyDescent="0.25">
      <c r="A53" s="90" t="s">
        <v>1204</v>
      </c>
      <c r="B53" s="86" t="s">
        <v>1205</v>
      </c>
      <c r="C53" s="90" t="s">
        <v>186</v>
      </c>
      <c r="D53" s="90" t="s">
        <v>186</v>
      </c>
      <c r="E53" s="90" t="s">
        <v>186</v>
      </c>
      <c r="H53" s="52"/>
      <c r="L53" s="52"/>
      <c r="M53" s="52"/>
    </row>
    <row r="54" spans="1:13" x14ac:dyDescent="0.25">
      <c r="A54" s="90" t="s">
        <v>1206</v>
      </c>
      <c r="B54" s="86" t="s">
        <v>1207</v>
      </c>
      <c r="C54" s="90" t="s">
        <v>186</v>
      </c>
      <c r="D54" s="90" t="s">
        <v>186</v>
      </c>
      <c r="E54" s="90" t="s">
        <v>186</v>
      </c>
      <c r="H54" s="52"/>
      <c r="L54" s="52"/>
      <c r="M54" s="52"/>
    </row>
    <row r="55" spans="1:13" x14ac:dyDescent="0.25">
      <c r="A55" s="90" t="s">
        <v>1208</v>
      </c>
      <c r="B55" s="86" t="s">
        <v>1209</v>
      </c>
      <c r="C55" s="90" t="s">
        <v>186</v>
      </c>
      <c r="D55" s="90" t="s">
        <v>186</v>
      </c>
      <c r="E55" s="90" t="s">
        <v>186</v>
      </c>
      <c r="H55" s="52"/>
      <c r="L55" s="52"/>
      <c r="M55" s="52"/>
    </row>
    <row r="56" spans="1:13" x14ac:dyDescent="0.25">
      <c r="A56" s="90" t="s">
        <v>1210</v>
      </c>
      <c r="B56" s="86" t="s">
        <v>1211</v>
      </c>
      <c r="C56" s="90" t="s">
        <v>186</v>
      </c>
      <c r="D56" s="90" t="s">
        <v>186</v>
      </c>
      <c r="E56" s="90" t="s">
        <v>186</v>
      </c>
      <c r="H56" s="52"/>
      <c r="L56" s="52"/>
      <c r="M56" s="52"/>
    </row>
    <row r="57" spans="1:13" x14ac:dyDescent="0.25">
      <c r="A57" s="90" t="s">
        <v>1212</v>
      </c>
      <c r="B57" s="86" t="s">
        <v>1213</v>
      </c>
      <c r="C57" s="90" t="s">
        <v>186</v>
      </c>
      <c r="D57" s="90" t="s">
        <v>186</v>
      </c>
      <c r="E57" s="90" t="s">
        <v>186</v>
      </c>
      <c r="H57" s="52"/>
      <c r="L57" s="52"/>
      <c r="M57" s="52"/>
    </row>
    <row r="58" spans="1:13" x14ac:dyDescent="0.25">
      <c r="A58" s="90" t="s">
        <v>1214</v>
      </c>
      <c r="B58" s="86" t="s">
        <v>1215</v>
      </c>
      <c r="C58" s="90" t="s">
        <v>186</v>
      </c>
      <c r="D58" s="90" t="s">
        <v>186</v>
      </c>
      <c r="E58" s="90" t="s">
        <v>186</v>
      </c>
      <c r="H58" s="52"/>
      <c r="L58" s="52"/>
      <c r="M58" s="52"/>
    </row>
    <row r="59" spans="1:13" x14ac:dyDescent="0.25">
      <c r="A59" s="90" t="s">
        <v>1216</v>
      </c>
      <c r="B59" s="86" t="s">
        <v>1217</v>
      </c>
      <c r="C59" s="90" t="s">
        <v>186</v>
      </c>
      <c r="D59" s="90" t="s">
        <v>186</v>
      </c>
      <c r="E59" s="90" t="s">
        <v>186</v>
      </c>
      <c r="H59" s="52"/>
      <c r="L59" s="52"/>
      <c r="M59" s="52"/>
    </row>
    <row r="60" spans="1:13" hidden="1" outlineLevel="1" x14ac:dyDescent="0.25">
      <c r="A60" s="90" t="s">
        <v>1218</v>
      </c>
      <c r="B60" s="86"/>
      <c r="E60" s="86"/>
      <c r="F60" s="86"/>
      <c r="G60" s="86"/>
      <c r="H60" s="52"/>
      <c r="L60" s="52"/>
      <c r="M60" s="52"/>
    </row>
    <row r="61" spans="1:13" hidden="1" outlineLevel="1" x14ac:dyDescent="0.25">
      <c r="A61" s="90" t="s">
        <v>1219</v>
      </c>
      <c r="B61" s="86"/>
      <c r="E61" s="86"/>
      <c r="F61" s="86"/>
      <c r="G61" s="86"/>
      <c r="H61" s="52"/>
      <c r="L61" s="52"/>
      <c r="M61" s="52"/>
    </row>
    <row r="62" spans="1:13" hidden="1" outlineLevel="1" x14ac:dyDescent="0.25">
      <c r="A62" s="90" t="s">
        <v>1220</v>
      </c>
      <c r="B62" s="86"/>
      <c r="E62" s="86"/>
      <c r="F62" s="86"/>
      <c r="G62" s="86"/>
      <c r="H62" s="52"/>
      <c r="L62" s="52"/>
      <c r="M62" s="52"/>
    </row>
    <row r="63" spans="1:13" hidden="1" outlineLevel="1" x14ac:dyDescent="0.25">
      <c r="A63" s="90" t="s">
        <v>1221</v>
      </c>
      <c r="B63" s="86"/>
      <c r="E63" s="86"/>
      <c r="F63" s="86"/>
      <c r="G63" s="86"/>
      <c r="H63" s="52"/>
      <c r="L63" s="52"/>
      <c r="M63" s="52"/>
    </row>
    <row r="64" spans="1:13" hidden="1" outlineLevel="1" x14ac:dyDescent="0.25">
      <c r="A64" s="90" t="s">
        <v>1222</v>
      </c>
      <c r="B64" s="86"/>
      <c r="E64" s="86"/>
      <c r="F64" s="86"/>
      <c r="G64" s="86"/>
      <c r="H64" s="52"/>
      <c r="L64" s="52"/>
      <c r="M64" s="52"/>
    </row>
    <row r="65" spans="1:14" hidden="1" outlineLevel="1" x14ac:dyDescent="0.25">
      <c r="A65" s="90" t="s">
        <v>1223</v>
      </c>
      <c r="B65" s="86"/>
      <c r="E65" s="86"/>
      <c r="F65" s="86"/>
      <c r="G65" s="86"/>
      <c r="H65" s="52"/>
      <c r="L65" s="52"/>
      <c r="M65" s="52"/>
    </row>
    <row r="66" spans="1:14" hidden="1" outlineLevel="1" x14ac:dyDescent="0.25">
      <c r="A66" s="90" t="s">
        <v>1224</v>
      </c>
      <c r="B66" s="86"/>
      <c r="E66" s="86"/>
      <c r="F66" s="86"/>
      <c r="G66" s="86"/>
      <c r="H66" s="52"/>
      <c r="L66" s="52"/>
      <c r="M66" s="52"/>
    </row>
    <row r="67" spans="1:14" hidden="1" outlineLevel="1" x14ac:dyDescent="0.25">
      <c r="A67" s="90" t="s">
        <v>1225</v>
      </c>
      <c r="B67" s="86"/>
      <c r="E67" s="86"/>
      <c r="F67" s="86"/>
      <c r="G67" s="86"/>
      <c r="H67" s="52"/>
      <c r="L67" s="52"/>
      <c r="M67" s="52"/>
    </row>
    <row r="68" spans="1:14" hidden="1" outlineLevel="1" x14ac:dyDescent="0.25">
      <c r="A68" s="90" t="s">
        <v>1226</v>
      </c>
      <c r="B68" s="86"/>
      <c r="E68" s="86"/>
      <c r="F68" s="86"/>
      <c r="G68" s="86"/>
      <c r="H68" s="52"/>
      <c r="L68" s="52"/>
      <c r="M68" s="52"/>
    </row>
    <row r="69" spans="1:14" hidden="1" outlineLevel="1" x14ac:dyDescent="0.25">
      <c r="A69" s="90" t="s">
        <v>1227</v>
      </c>
      <c r="B69" s="86"/>
      <c r="E69" s="86"/>
      <c r="F69" s="86"/>
      <c r="G69" s="86"/>
      <c r="H69" s="52"/>
      <c r="L69" s="52"/>
      <c r="M69" s="52"/>
    </row>
    <row r="70" spans="1:14" hidden="1" outlineLevel="1" x14ac:dyDescent="0.25">
      <c r="A70" s="90" t="s">
        <v>1228</v>
      </c>
      <c r="B70" s="86"/>
      <c r="E70" s="86"/>
      <c r="F70" s="86"/>
      <c r="G70" s="86"/>
      <c r="H70" s="52"/>
      <c r="L70" s="52"/>
      <c r="M70" s="52"/>
    </row>
    <row r="71" spans="1:14" hidden="1" outlineLevel="1" x14ac:dyDescent="0.25">
      <c r="A71" s="90" t="s">
        <v>1229</v>
      </c>
      <c r="B71" s="86"/>
      <c r="E71" s="86"/>
      <c r="F71" s="86"/>
      <c r="G71" s="86"/>
      <c r="H71" s="52"/>
      <c r="L71" s="52"/>
      <c r="M71" s="52"/>
    </row>
    <row r="72" spans="1:14" hidden="1" outlineLevel="1" x14ac:dyDescent="0.25">
      <c r="A72" s="90" t="s">
        <v>1230</v>
      </c>
      <c r="B72" s="86"/>
      <c r="E72" s="86"/>
      <c r="F72" s="86"/>
      <c r="G72" s="86"/>
      <c r="H72" s="52"/>
      <c r="L72" s="52"/>
      <c r="M72" s="52"/>
    </row>
    <row r="73" spans="1:14" ht="18.75" collapsed="1" x14ac:dyDescent="0.25">
      <c r="A73" s="15"/>
      <c r="B73" s="18" t="s">
        <v>1128</v>
      </c>
      <c r="C73" s="15"/>
      <c r="D73" s="15"/>
      <c r="E73" s="15"/>
      <c r="F73" s="15"/>
      <c r="G73" s="15"/>
      <c r="H73" s="52"/>
    </row>
    <row r="74" spans="1:14" ht="15" customHeight="1" x14ac:dyDescent="0.25">
      <c r="A74" s="58"/>
      <c r="B74" s="60" t="s">
        <v>989</v>
      </c>
      <c r="C74" s="58" t="s">
        <v>1231</v>
      </c>
      <c r="D74" s="58"/>
      <c r="E74" s="59"/>
      <c r="F74" s="59"/>
      <c r="G74" s="59"/>
      <c r="H74" s="51"/>
      <c r="I74" s="51"/>
      <c r="J74" s="51"/>
      <c r="K74" s="51"/>
      <c r="L74" s="51"/>
      <c r="M74" s="51"/>
      <c r="N74" s="51"/>
    </row>
    <row r="75" spans="1:14" x14ac:dyDescent="0.25">
      <c r="A75" s="90" t="s">
        <v>1232</v>
      </c>
      <c r="B75" s="90" t="s">
        <v>1233</v>
      </c>
      <c r="C75" s="119">
        <v>36.594113780805159</v>
      </c>
      <c r="H75" s="52"/>
    </row>
    <row r="76" spans="1:14" x14ac:dyDescent="0.25">
      <c r="A76" s="90" t="s">
        <v>1234</v>
      </c>
      <c r="B76" s="90" t="s">
        <v>1235</v>
      </c>
      <c r="C76" s="119">
        <v>205.24457212679445</v>
      </c>
      <c r="H76" s="52"/>
    </row>
    <row r="77" spans="1:14" outlineLevel="1" x14ac:dyDescent="0.25">
      <c r="A77" s="90" t="s">
        <v>1236</v>
      </c>
      <c r="B77" s="90" t="s">
        <v>1237</v>
      </c>
      <c r="C77" s="119">
        <v>444.5</v>
      </c>
      <c r="H77" s="52"/>
    </row>
    <row r="78" spans="1:14" outlineLevel="1" x14ac:dyDescent="0.25">
      <c r="A78" s="90" t="s">
        <v>1238</v>
      </c>
      <c r="H78" s="52"/>
    </row>
    <row r="79" spans="1:14" outlineLevel="1" x14ac:dyDescent="0.25">
      <c r="A79" s="90" t="s">
        <v>1239</v>
      </c>
      <c r="H79" s="52"/>
    </row>
    <row r="80" spans="1:14" outlineLevel="1" x14ac:dyDescent="0.25">
      <c r="A80" s="90" t="s">
        <v>1240</v>
      </c>
      <c r="H80" s="52"/>
    </row>
    <row r="81" spans="1:8" x14ac:dyDescent="0.25">
      <c r="A81" s="58"/>
      <c r="B81" s="60" t="s">
        <v>1241</v>
      </c>
      <c r="C81" s="58" t="s">
        <v>143</v>
      </c>
      <c r="D81" s="58" t="s">
        <v>144</v>
      </c>
      <c r="E81" s="59" t="s">
        <v>245</v>
      </c>
      <c r="F81" s="59" t="s">
        <v>260</v>
      </c>
      <c r="G81" s="59" t="s">
        <v>1242</v>
      </c>
      <c r="H81" s="52"/>
    </row>
    <row r="82" spans="1:8" x14ac:dyDescent="0.25">
      <c r="A82" s="90" t="s">
        <v>1243</v>
      </c>
      <c r="B82" s="90" t="s">
        <v>1244</v>
      </c>
      <c r="C82" s="125">
        <v>8.7571456616839672E-3</v>
      </c>
      <c r="D82" s="125">
        <v>5.6034614630854705E-2</v>
      </c>
      <c r="E82" s="126" t="s">
        <v>186</v>
      </c>
      <c r="F82" s="126" t="s">
        <v>186</v>
      </c>
      <c r="G82" s="125">
        <v>3.0523688744118163E-2</v>
      </c>
      <c r="H82" s="52"/>
    </row>
    <row r="83" spans="1:8" x14ac:dyDescent="0.25">
      <c r="A83" s="90" t="s">
        <v>1245</v>
      </c>
      <c r="B83" s="90" t="s">
        <v>1246</v>
      </c>
      <c r="C83" s="125">
        <v>2.4270909505567794E-3</v>
      </c>
      <c r="D83" s="125">
        <v>2.9681547810331611E-3</v>
      </c>
      <c r="E83" s="126" t="s">
        <v>186</v>
      </c>
      <c r="F83" s="126" t="s">
        <v>186</v>
      </c>
      <c r="G83" s="125">
        <v>2.6761966965536915E-3</v>
      </c>
      <c r="H83" s="52"/>
    </row>
    <row r="84" spans="1:8" x14ac:dyDescent="0.25">
      <c r="A84" s="90" t="s">
        <v>1247</v>
      </c>
      <c r="B84" s="90" t="s">
        <v>1248</v>
      </c>
      <c r="C84" s="125">
        <v>3.501560111018059E-4</v>
      </c>
      <c r="D84" s="125">
        <v>0</v>
      </c>
      <c r="E84" s="126" t="s">
        <v>186</v>
      </c>
      <c r="F84" s="126" t="s">
        <v>186</v>
      </c>
      <c r="G84" s="125">
        <v>1.8894421048315331E-4</v>
      </c>
      <c r="H84" s="52"/>
    </row>
    <row r="85" spans="1:8" x14ac:dyDescent="0.25">
      <c r="A85" s="90" t="s">
        <v>1249</v>
      </c>
      <c r="B85" s="90" t="s">
        <v>1250</v>
      </c>
      <c r="C85" s="125">
        <v>3.1136748372994259E-5</v>
      </c>
      <c r="D85" s="125">
        <v>0</v>
      </c>
      <c r="E85" s="126" t="s">
        <v>186</v>
      </c>
      <c r="F85" s="126" t="s">
        <v>186</v>
      </c>
      <c r="G85" s="125">
        <v>1.6801391813407911E-5</v>
      </c>
      <c r="H85" s="52"/>
    </row>
    <row r="86" spans="1:8" x14ac:dyDescent="0.25">
      <c r="A86" s="90" t="s">
        <v>1251</v>
      </c>
      <c r="B86" s="90" t="s">
        <v>1252</v>
      </c>
      <c r="C86" s="125">
        <v>0</v>
      </c>
      <c r="D86" s="125">
        <v>0</v>
      </c>
      <c r="E86" s="126" t="s">
        <v>186</v>
      </c>
      <c r="F86" s="126" t="s">
        <v>186</v>
      </c>
      <c r="G86" s="125">
        <v>0</v>
      </c>
      <c r="H86" s="52"/>
    </row>
    <row r="87" spans="1:8" hidden="1" outlineLevel="1" x14ac:dyDescent="0.25">
      <c r="A87" s="90" t="s">
        <v>1253</v>
      </c>
      <c r="H87" s="52"/>
    </row>
    <row r="88" spans="1:8" hidden="1" outlineLevel="1" x14ac:dyDescent="0.25">
      <c r="A88" s="90" t="s">
        <v>1254</v>
      </c>
      <c r="C88" s="125"/>
      <c r="D88" s="125"/>
      <c r="G88" s="125"/>
      <c r="H88" s="52"/>
    </row>
    <row r="89" spans="1:8" hidden="1" outlineLevel="1" x14ac:dyDescent="0.25">
      <c r="A89" s="90" t="s">
        <v>1255</v>
      </c>
      <c r="C89" s="125"/>
      <c r="D89" s="125"/>
      <c r="G89" s="125"/>
      <c r="H89" s="52"/>
    </row>
    <row r="90" spans="1:8" hidden="1" outlineLevel="1" x14ac:dyDescent="0.25">
      <c r="A90" s="90" t="s">
        <v>1256</v>
      </c>
      <c r="C90" s="125"/>
      <c r="D90" s="125"/>
      <c r="G90" s="125"/>
      <c r="H90" s="52"/>
    </row>
    <row r="91" spans="1:8" collapsed="1" x14ac:dyDescent="0.25">
      <c r="C91" s="125"/>
      <c r="D91" s="125"/>
      <c r="G91" s="125"/>
      <c r="H91" s="52"/>
    </row>
    <row r="92" spans="1:8" x14ac:dyDescent="0.25">
      <c r="C92" s="125"/>
      <c r="D92" s="125"/>
      <c r="E92" s="126"/>
      <c r="F92" s="126"/>
      <c r="G92" s="125"/>
      <c r="H92" s="52"/>
    </row>
    <row r="93" spans="1:8" x14ac:dyDescent="0.25">
      <c r="H93" s="52"/>
    </row>
    <row r="94" spans="1:8" x14ac:dyDescent="0.25">
      <c r="H94" s="52"/>
    </row>
    <row r="95" spans="1:8" x14ac:dyDescent="0.25">
      <c r="H95" s="52"/>
    </row>
    <row r="96" spans="1:8" x14ac:dyDescent="0.25">
      <c r="H96" s="52"/>
    </row>
    <row r="97" spans="8:8" x14ac:dyDescent="0.25">
      <c r="H97" s="52"/>
    </row>
    <row r="98" spans="8:8" x14ac:dyDescent="0.25">
      <c r="H98" s="52"/>
    </row>
    <row r="99" spans="8:8" x14ac:dyDescent="0.25">
      <c r="H99" s="52"/>
    </row>
    <row r="100" spans="8:8" x14ac:dyDescent="0.25">
      <c r="H100" s="52"/>
    </row>
    <row r="101" spans="8:8" x14ac:dyDescent="0.25">
      <c r="H101" s="52"/>
    </row>
    <row r="102" spans="8:8" x14ac:dyDescent="0.25">
      <c r="H102" s="52"/>
    </row>
    <row r="103" spans="8:8" x14ac:dyDescent="0.25">
      <c r="H103" s="52"/>
    </row>
    <row r="104" spans="8:8" x14ac:dyDescent="0.25">
      <c r="H104" s="52"/>
    </row>
    <row r="105" spans="8:8" x14ac:dyDescent="0.25">
      <c r="H105" s="52"/>
    </row>
    <row r="106" spans="8:8" x14ac:dyDescent="0.25">
      <c r="H106" s="52"/>
    </row>
    <row r="107" spans="8:8" x14ac:dyDescent="0.25">
      <c r="H107" s="52"/>
    </row>
    <row r="108" spans="8:8" x14ac:dyDescent="0.25">
      <c r="H108" s="52"/>
    </row>
    <row r="109" spans="8:8" x14ac:dyDescent="0.25">
      <c r="H109" s="52"/>
    </row>
    <row r="110" spans="8:8" x14ac:dyDescent="0.25">
      <c r="H110" s="52"/>
    </row>
    <row r="111" spans="8:8" x14ac:dyDescent="0.25">
      <c r="H111" s="52"/>
    </row>
    <row r="112" spans="8:8" x14ac:dyDescent="0.25">
      <c r="H112" s="52"/>
    </row>
  </sheetData>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topLeftCell="A40" zoomScale="70" zoomScaleNormal="70" zoomScaleSheetLayoutView="90" workbookViewId="0">
      <selection activeCell="A73" sqref="A73"/>
    </sheetView>
  </sheetViews>
  <sheetFormatPr defaultRowHeight="15" x14ac:dyDescent="0.25"/>
  <cols>
    <col min="1" max="1" width="242" style="87" customWidth="1" collapsed="1"/>
    <col min="2" max="16384" width="9.140625" style="87" collapsed="1"/>
  </cols>
  <sheetData>
    <row r="1" spans="1:1" ht="31.5" x14ac:dyDescent="0.25">
      <c r="A1" s="19" t="s">
        <v>269</v>
      </c>
    </row>
    <row r="3" spans="1:1" x14ac:dyDescent="0.25">
      <c r="A3" s="98"/>
    </row>
    <row r="4" spans="1:1" ht="34.5" x14ac:dyDescent="0.25">
      <c r="A4" s="99" t="s">
        <v>270</v>
      </c>
    </row>
    <row r="5" spans="1:1" ht="34.5" x14ac:dyDescent="0.25">
      <c r="A5" s="99" t="s">
        <v>271</v>
      </c>
    </row>
    <row r="6" spans="1:1" ht="51.75" x14ac:dyDescent="0.25">
      <c r="A6" s="99" t="s">
        <v>272</v>
      </c>
    </row>
    <row r="7" spans="1:1" ht="17.25" x14ac:dyDescent="0.25">
      <c r="A7" s="99"/>
    </row>
    <row r="8" spans="1:1" ht="18.75" x14ac:dyDescent="0.25">
      <c r="A8" s="100" t="s">
        <v>273</v>
      </c>
    </row>
    <row r="9" spans="1:1" ht="34.5" x14ac:dyDescent="0.3">
      <c r="A9" s="101" t="s">
        <v>274</v>
      </c>
    </row>
    <row r="10" spans="1:1" ht="86.25" x14ac:dyDescent="0.25">
      <c r="A10" s="102" t="s">
        <v>275</v>
      </c>
    </row>
    <row r="11" spans="1:1" ht="34.5" x14ac:dyDescent="0.25">
      <c r="A11" s="102" t="s">
        <v>276</v>
      </c>
    </row>
    <row r="12" spans="1:1" ht="17.25" x14ac:dyDescent="0.25">
      <c r="A12" s="102" t="s">
        <v>277</v>
      </c>
    </row>
    <row r="13" spans="1:1" ht="17.25" x14ac:dyDescent="0.25">
      <c r="A13" s="102" t="s">
        <v>278</v>
      </c>
    </row>
    <row r="14" spans="1:1" ht="34.5" x14ac:dyDescent="0.25">
      <c r="A14" s="102" t="s">
        <v>279</v>
      </c>
    </row>
    <row r="15" spans="1:1" ht="17.25" x14ac:dyDescent="0.25">
      <c r="A15" s="102"/>
    </row>
    <row r="16" spans="1:1" ht="18.75" x14ac:dyDescent="0.25">
      <c r="A16" s="100" t="s">
        <v>280</v>
      </c>
    </row>
    <row r="17" spans="1:1" ht="17.25" x14ac:dyDescent="0.25">
      <c r="A17" s="103" t="s">
        <v>281</v>
      </c>
    </row>
    <row r="18" spans="1:1" ht="34.5" x14ac:dyDescent="0.25">
      <c r="A18" s="104" t="s">
        <v>282</v>
      </c>
    </row>
    <row r="19" spans="1:1" ht="34.5" x14ac:dyDescent="0.25">
      <c r="A19" s="104" t="s">
        <v>283</v>
      </c>
    </row>
    <row r="20" spans="1:1" ht="51.75" x14ac:dyDescent="0.25">
      <c r="A20" s="104" t="s">
        <v>284</v>
      </c>
    </row>
    <row r="21" spans="1:1" ht="86.25" x14ac:dyDescent="0.25">
      <c r="A21" s="104" t="s">
        <v>285</v>
      </c>
    </row>
    <row r="22" spans="1:1" ht="51.75" x14ac:dyDescent="0.25">
      <c r="A22" s="104" t="s">
        <v>286</v>
      </c>
    </row>
    <row r="23" spans="1:1" ht="34.5" x14ac:dyDescent="0.25">
      <c r="A23" s="104" t="s">
        <v>287</v>
      </c>
    </row>
    <row r="24" spans="1:1" ht="17.25" x14ac:dyDescent="0.25">
      <c r="A24" s="104" t="s">
        <v>288</v>
      </c>
    </row>
    <row r="25" spans="1:1" ht="17.25" x14ac:dyDescent="0.25">
      <c r="A25" s="103" t="s">
        <v>289</v>
      </c>
    </row>
    <row r="26" spans="1:1" ht="51.75" x14ac:dyDescent="0.3">
      <c r="A26" s="105" t="s">
        <v>290</v>
      </c>
    </row>
    <row r="27" spans="1:1" ht="17.25" x14ac:dyDescent="0.3">
      <c r="A27" s="105" t="s">
        <v>291</v>
      </c>
    </row>
    <row r="28" spans="1:1" ht="17.25" x14ac:dyDescent="0.25">
      <c r="A28" s="103" t="s">
        <v>292</v>
      </c>
    </row>
    <row r="29" spans="1:1" ht="34.5" x14ac:dyDescent="0.25">
      <c r="A29" s="104" t="s">
        <v>293</v>
      </c>
    </row>
    <row r="30" spans="1:1" ht="34.5" x14ac:dyDescent="0.25">
      <c r="A30" s="104" t="s">
        <v>294</v>
      </c>
    </row>
    <row r="31" spans="1:1" ht="34.5" x14ac:dyDescent="0.25">
      <c r="A31" s="104" t="s">
        <v>295</v>
      </c>
    </row>
    <row r="32" spans="1:1" ht="34.5" x14ac:dyDescent="0.25">
      <c r="A32" s="104" t="s">
        <v>296</v>
      </c>
    </row>
    <row r="33" spans="1:1" ht="17.25" x14ac:dyDescent="0.25">
      <c r="A33" s="104"/>
    </row>
    <row r="34" spans="1:1" ht="18.75" x14ac:dyDescent="0.25">
      <c r="A34" s="100" t="s">
        <v>297</v>
      </c>
    </row>
    <row r="35" spans="1:1" ht="17.25" x14ac:dyDescent="0.25">
      <c r="A35" s="103" t="s">
        <v>298</v>
      </c>
    </row>
    <row r="36" spans="1:1" ht="34.5" x14ac:dyDescent="0.25">
      <c r="A36" s="104" t="s">
        <v>299</v>
      </c>
    </row>
    <row r="37" spans="1:1" ht="34.5" x14ac:dyDescent="0.25">
      <c r="A37" s="104" t="s">
        <v>300</v>
      </c>
    </row>
    <row r="38" spans="1:1" ht="34.5" x14ac:dyDescent="0.25">
      <c r="A38" s="104" t="s">
        <v>301</v>
      </c>
    </row>
    <row r="39" spans="1:1" ht="17.25" x14ac:dyDescent="0.25">
      <c r="A39" s="104" t="s">
        <v>302</v>
      </c>
    </row>
    <row r="40" spans="1:1" ht="34.5" x14ac:dyDescent="0.25">
      <c r="A40" s="104" t="s">
        <v>303</v>
      </c>
    </row>
    <row r="41" spans="1:1" ht="17.25" x14ac:dyDescent="0.25">
      <c r="A41" s="103" t="s">
        <v>304</v>
      </c>
    </row>
    <row r="42" spans="1:1" ht="17.25" x14ac:dyDescent="0.25">
      <c r="A42" s="104" t="s">
        <v>305</v>
      </c>
    </row>
    <row r="43" spans="1:1" ht="17.25" x14ac:dyDescent="0.3">
      <c r="A43" s="105" t="s">
        <v>306</v>
      </c>
    </row>
    <row r="44" spans="1:1" ht="17.25" x14ac:dyDescent="0.25">
      <c r="A44" s="103" t="s">
        <v>307</v>
      </c>
    </row>
    <row r="45" spans="1:1" ht="34.5" x14ac:dyDescent="0.3">
      <c r="A45" s="105" t="s">
        <v>308</v>
      </c>
    </row>
    <row r="46" spans="1:1" ht="34.5" x14ac:dyDescent="0.25">
      <c r="A46" s="104" t="s">
        <v>309</v>
      </c>
    </row>
    <row r="47" spans="1:1" ht="51.75" x14ac:dyDescent="0.25">
      <c r="A47" s="104" t="s">
        <v>310</v>
      </c>
    </row>
    <row r="48" spans="1:1" ht="17.25" x14ac:dyDescent="0.25">
      <c r="A48" s="104" t="s">
        <v>311</v>
      </c>
    </row>
    <row r="49" spans="1:1" ht="17.25" x14ac:dyDescent="0.3">
      <c r="A49" s="105" t="s">
        <v>312</v>
      </c>
    </row>
    <row r="50" spans="1:1" ht="17.25" x14ac:dyDescent="0.25">
      <c r="A50" s="103" t="s">
        <v>313</v>
      </c>
    </row>
    <row r="51" spans="1:1" ht="34.5" x14ac:dyDescent="0.3">
      <c r="A51" s="105" t="s">
        <v>314</v>
      </c>
    </row>
    <row r="52" spans="1:1" ht="17.25" x14ac:dyDescent="0.25">
      <c r="A52" s="104" t="s">
        <v>315</v>
      </c>
    </row>
    <row r="53" spans="1:1" ht="34.5" x14ac:dyDescent="0.3">
      <c r="A53" s="105" t="s">
        <v>316</v>
      </c>
    </row>
    <row r="54" spans="1:1" ht="17.25" x14ac:dyDescent="0.25">
      <c r="A54" s="103" t="s">
        <v>317</v>
      </c>
    </row>
    <row r="55" spans="1:1" ht="17.25" x14ac:dyDescent="0.3">
      <c r="A55" s="105" t="s">
        <v>318</v>
      </c>
    </row>
    <row r="56" spans="1:1" ht="34.5" x14ac:dyDescent="0.25">
      <c r="A56" s="104" t="s">
        <v>319</v>
      </c>
    </row>
    <row r="57" spans="1:1" ht="17.25" x14ac:dyDescent="0.25">
      <c r="A57" s="104" t="s">
        <v>320</v>
      </c>
    </row>
    <row r="58" spans="1:1" ht="34.5" x14ac:dyDescent="0.25">
      <c r="A58" s="104" t="s">
        <v>321</v>
      </c>
    </row>
    <row r="59" spans="1:1" ht="17.25" x14ac:dyDescent="0.25">
      <c r="A59" s="103" t="s">
        <v>322</v>
      </c>
    </row>
    <row r="60" spans="1:1" ht="34.5" x14ac:dyDescent="0.25">
      <c r="A60" s="104" t="s">
        <v>323</v>
      </c>
    </row>
    <row r="61" spans="1:1" ht="17.25" x14ac:dyDescent="0.25">
      <c r="A61" s="106"/>
    </row>
    <row r="62" spans="1:1" ht="18.75" x14ac:dyDescent="0.25">
      <c r="A62" s="100" t="s">
        <v>324</v>
      </c>
    </row>
    <row r="63" spans="1:1" ht="17.25" x14ac:dyDescent="0.25">
      <c r="A63" s="103" t="s">
        <v>325</v>
      </c>
    </row>
    <row r="64" spans="1:1" ht="34.5" x14ac:dyDescent="0.25">
      <c r="A64" s="104" t="s">
        <v>326</v>
      </c>
    </row>
    <row r="65" spans="1:1" ht="17.25" x14ac:dyDescent="0.25">
      <c r="A65" s="104" t="s">
        <v>327</v>
      </c>
    </row>
    <row r="66" spans="1:1" ht="34.5" x14ac:dyDescent="0.25">
      <c r="A66" s="102" t="s">
        <v>328</v>
      </c>
    </row>
    <row r="67" spans="1:1" ht="34.5" x14ac:dyDescent="0.25">
      <c r="A67" s="102" t="s">
        <v>329</v>
      </c>
    </row>
    <row r="68" spans="1:1" ht="34.5" x14ac:dyDescent="0.25">
      <c r="A68" s="102" t="s">
        <v>330</v>
      </c>
    </row>
    <row r="69" spans="1:1" ht="17.25" x14ac:dyDescent="0.25">
      <c r="A69" s="107" t="s">
        <v>331</v>
      </c>
    </row>
    <row r="70" spans="1:1" ht="51.75" x14ac:dyDescent="0.25">
      <c r="A70" s="102" t="s">
        <v>332</v>
      </c>
    </row>
    <row r="71" spans="1:1" ht="17.25" x14ac:dyDescent="0.25">
      <c r="A71" s="102" t="s">
        <v>333</v>
      </c>
    </row>
    <row r="72" spans="1:1" ht="17.25" x14ac:dyDescent="0.25">
      <c r="A72" s="107" t="s">
        <v>334</v>
      </c>
    </row>
    <row r="73" spans="1:1" ht="17.25" x14ac:dyDescent="0.25">
      <c r="A73" s="102" t="s">
        <v>335</v>
      </c>
    </row>
    <row r="74" spans="1:1" ht="17.25" x14ac:dyDescent="0.25">
      <c r="A74" s="107" t="s">
        <v>336</v>
      </c>
    </row>
    <row r="75" spans="1:1" ht="34.5" x14ac:dyDescent="0.25">
      <c r="A75" s="102" t="s">
        <v>337</v>
      </c>
    </row>
    <row r="76" spans="1:1" ht="17.25" x14ac:dyDescent="0.25">
      <c r="A76" s="102" t="s">
        <v>338</v>
      </c>
    </row>
    <row r="77" spans="1:1" ht="51.75" x14ac:dyDescent="0.25">
      <c r="A77" s="102" t="s">
        <v>339</v>
      </c>
    </row>
    <row r="78" spans="1:1" ht="17.25" x14ac:dyDescent="0.25">
      <c r="A78" s="107" t="s">
        <v>340</v>
      </c>
    </row>
    <row r="79" spans="1:1" ht="17.25" x14ac:dyDescent="0.3">
      <c r="A79" s="101" t="s">
        <v>341</v>
      </c>
    </row>
    <row r="80" spans="1:1" ht="17.25" x14ac:dyDescent="0.25">
      <c r="A80" s="107" t="s">
        <v>342</v>
      </c>
    </row>
    <row r="81" spans="1:1" ht="34.5" x14ac:dyDescent="0.25">
      <c r="A81" s="102" t="s">
        <v>343</v>
      </c>
    </row>
    <row r="82" spans="1:1" ht="34.5" x14ac:dyDescent="0.25">
      <c r="A82" s="102" t="s">
        <v>344</v>
      </c>
    </row>
    <row r="83" spans="1:1" ht="34.5" x14ac:dyDescent="0.25">
      <c r="A83" s="102" t="s">
        <v>345</v>
      </c>
    </row>
    <row r="84" spans="1:1" ht="34.5" x14ac:dyDescent="0.25">
      <c r="A84" s="102" t="s">
        <v>346</v>
      </c>
    </row>
    <row r="85" spans="1:1" ht="34.5" x14ac:dyDescent="0.25">
      <c r="A85" s="102" t="s">
        <v>347</v>
      </c>
    </row>
    <row r="86" spans="1:1" ht="17.25" x14ac:dyDescent="0.25">
      <c r="A86" s="107" t="s">
        <v>348</v>
      </c>
    </row>
    <row r="87" spans="1:1" ht="17.25" x14ac:dyDescent="0.25">
      <c r="A87" s="102" t="s">
        <v>349</v>
      </c>
    </row>
    <row r="88" spans="1:1" ht="34.5" x14ac:dyDescent="0.25">
      <c r="A88" s="102" t="s">
        <v>350</v>
      </c>
    </row>
    <row r="89" spans="1:1" ht="17.25" x14ac:dyDescent="0.25">
      <c r="A89" s="107" t="s">
        <v>351</v>
      </c>
    </row>
    <row r="90" spans="1:1" ht="34.5" x14ac:dyDescent="0.25">
      <c r="A90" s="102" t="s">
        <v>352</v>
      </c>
    </row>
    <row r="91" spans="1:1" ht="17.25" x14ac:dyDescent="0.25">
      <c r="A91" s="107" t="s">
        <v>353</v>
      </c>
    </row>
    <row r="92" spans="1:1" ht="17.25" x14ac:dyDescent="0.3">
      <c r="A92" s="101" t="s">
        <v>354</v>
      </c>
    </row>
    <row r="93" spans="1:1" ht="17.25" x14ac:dyDescent="0.25">
      <c r="A93" s="102" t="s">
        <v>355</v>
      </c>
    </row>
    <row r="94" spans="1:1" ht="17.25" x14ac:dyDescent="0.25">
      <c r="A94" s="102"/>
    </row>
    <row r="95" spans="1:1" ht="18.75" x14ac:dyDescent="0.25">
      <c r="A95" s="100" t="s">
        <v>356</v>
      </c>
    </row>
    <row r="96" spans="1:1" ht="34.5" x14ac:dyDescent="0.3">
      <c r="A96" s="101" t="s">
        <v>357</v>
      </c>
    </row>
    <row r="97" spans="1:1" ht="17.25" x14ac:dyDescent="0.3">
      <c r="A97" s="101" t="s">
        <v>358</v>
      </c>
    </row>
    <row r="98" spans="1:1" ht="17.25" x14ac:dyDescent="0.25">
      <c r="A98" s="107" t="s">
        <v>359</v>
      </c>
    </row>
    <row r="99" spans="1:1" ht="17.25" x14ac:dyDescent="0.25">
      <c r="A99" s="99" t="s">
        <v>360</v>
      </c>
    </row>
    <row r="100" spans="1:1" ht="17.25" x14ac:dyDescent="0.25">
      <c r="A100" s="102" t="s">
        <v>361</v>
      </c>
    </row>
    <row r="101" spans="1:1" ht="17.25" x14ac:dyDescent="0.25">
      <c r="A101" s="102" t="s">
        <v>362</v>
      </c>
    </row>
    <row r="102" spans="1:1" ht="17.25" x14ac:dyDescent="0.25">
      <c r="A102" s="102" t="s">
        <v>363</v>
      </c>
    </row>
    <row r="103" spans="1:1" ht="17.25" x14ac:dyDescent="0.25">
      <c r="A103" s="102" t="s">
        <v>364</v>
      </c>
    </row>
    <row r="104" spans="1:1" ht="34.5" x14ac:dyDescent="0.25">
      <c r="A104" s="102" t="s">
        <v>365</v>
      </c>
    </row>
    <row r="105" spans="1:1" ht="17.25" x14ac:dyDescent="0.25">
      <c r="A105" s="99" t="s">
        <v>366</v>
      </c>
    </row>
    <row r="106" spans="1:1" ht="17.25" x14ac:dyDescent="0.25">
      <c r="A106" s="102" t="s">
        <v>367</v>
      </c>
    </row>
    <row r="107" spans="1:1" ht="17.25" x14ac:dyDescent="0.25">
      <c r="A107" s="102" t="s">
        <v>368</v>
      </c>
    </row>
    <row r="108" spans="1:1" ht="17.25" x14ac:dyDescent="0.25">
      <c r="A108" s="102" t="s">
        <v>369</v>
      </c>
    </row>
    <row r="109" spans="1:1" ht="17.25" x14ac:dyDescent="0.25">
      <c r="A109" s="102" t="s">
        <v>370</v>
      </c>
    </row>
    <row r="110" spans="1:1" ht="17.25" x14ac:dyDescent="0.25">
      <c r="A110" s="102" t="s">
        <v>371</v>
      </c>
    </row>
    <row r="111" spans="1:1" ht="17.25" x14ac:dyDescent="0.25">
      <c r="A111" s="102" t="s">
        <v>372</v>
      </c>
    </row>
    <row r="112" spans="1:1" ht="17.25" x14ac:dyDescent="0.25">
      <c r="A112" s="107" t="s">
        <v>373</v>
      </c>
    </row>
    <row r="113" spans="1:1" ht="17.25" x14ac:dyDescent="0.25">
      <c r="A113" s="102" t="s">
        <v>374</v>
      </c>
    </row>
    <row r="114" spans="1:1" ht="17.25" x14ac:dyDescent="0.25">
      <c r="A114" s="99" t="s">
        <v>375</v>
      </c>
    </row>
    <row r="115" spans="1:1" ht="17.25" x14ac:dyDescent="0.25">
      <c r="A115" s="102" t="s">
        <v>376</v>
      </c>
    </row>
    <row r="116" spans="1:1" ht="17.25" x14ac:dyDescent="0.25">
      <c r="A116" s="102" t="s">
        <v>377</v>
      </c>
    </row>
    <row r="117" spans="1:1" ht="17.25" x14ac:dyDescent="0.25">
      <c r="A117" s="99" t="s">
        <v>378</v>
      </c>
    </row>
    <row r="118" spans="1:1" ht="17.25" x14ac:dyDescent="0.25">
      <c r="A118" s="102" t="s">
        <v>379</v>
      </c>
    </row>
    <row r="119" spans="1:1" ht="17.25" x14ac:dyDescent="0.25">
      <c r="A119" s="102" t="s">
        <v>380</v>
      </c>
    </row>
    <row r="120" spans="1:1" ht="17.25" x14ac:dyDescent="0.25">
      <c r="A120" s="102" t="s">
        <v>381</v>
      </c>
    </row>
    <row r="121" spans="1:1" ht="17.25" x14ac:dyDescent="0.25">
      <c r="A121" s="107" t="s">
        <v>382</v>
      </c>
    </row>
    <row r="122" spans="1:1" ht="17.25" x14ac:dyDescent="0.25">
      <c r="A122" s="99" t="s">
        <v>383</v>
      </c>
    </row>
    <row r="123" spans="1:1" ht="17.25" x14ac:dyDescent="0.25">
      <c r="A123" s="99" t="s">
        <v>384</v>
      </c>
    </row>
    <row r="124" spans="1:1" ht="17.25" x14ac:dyDescent="0.25">
      <c r="A124" s="102" t="s">
        <v>385</v>
      </c>
    </row>
    <row r="125" spans="1:1" ht="17.25" x14ac:dyDescent="0.25">
      <c r="A125" s="102" t="s">
        <v>386</v>
      </c>
    </row>
    <row r="126" spans="1:1" ht="17.25" x14ac:dyDescent="0.25">
      <c r="A126" s="102" t="s">
        <v>387</v>
      </c>
    </row>
    <row r="127" spans="1:1" ht="17.25" x14ac:dyDescent="0.25">
      <c r="A127" s="102" t="s">
        <v>388</v>
      </c>
    </row>
    <row r="128" spans="1:1" ht="17.25" x14ac:dyDescent="0.25">
      <c r="A128" s="102" t="s">
        <v>389</v>
      </c>
    </row>
    <row r="129" spans="1:1" ht="17.25" x14ac:dyDescent="0.25">
      <c r="A129" s="107" t="s">
        <v>390</v>
      </c>
    </row>
    <row r="130" spans="1:1" ht="34.5" x14ac:dyDescent="0.25">
      <c r="A130" s="102" t="s">
        <v>391</v>
      </c>
    </row>
    <row r="131" spans="1:1" ht="69" x14ac:dyDescent="0.25">
      <c r="A131" s="102" t="s">
        <v>392</v>
      </c>
    </row>
    <row r="132" spans="1:1" ht="34.5" x14ac:dyDescent="0.25">
      <c r="A132" s="102" t="s">
        <v>393</v>
      </c>
    </row>
    <row r="133" spans="1:1" ht="17.25" x14ac:dyDescent="0.25">
      <c r="A133" s="107" t="s">
        <v>394</v>
      </c>
    </row>
    <row r="134" spans="1:1" ht="34.5" x14ac:dyDescent="0.25">
      <c r="A134" s="99" t="s">
        <v>395</v>
      </c>
    </row>
    <row r="135" spans="1:1" ht="17.25" x14ac:dyDescent="0.25">
      <c r="A135" s="99"/>
    </row>
    <row r="136" spans="1:1" ht="18.75" x14ac:dyDescent="0.25">
      <c r="A136" s="100" t="s">
        <v>396</v>
      </c>
    </row>
    <row r="137" spans="1:1" ht="17.25" x14ac:dyDescent="0.25">
      <c r="A137" s="102" t="s">
        <v>397</v>
      </c>
    </row>
    <row r="138" spans="1:1" ht="34.5" x14ac:dyDescent="0.25">
      <c r="A138" s="104" t="s">
        <v>398</v>
      </c>
    </row>
    <row r="139" spans="1:1" ht="34.5" x14ac:dyDescent="0.25">
      <c r="A139" s="104" t="s">
        <v>399</v>
      </c>
    </row>
    <row r="140" spans="1:1" ht="17.25" x14ac:dyDescent="0.25">
      <c r="A140" s="103" t="s">
        <v>400</v>
      </c>
    </row>
    <row r="141" spans="1:1" ht="17.25" x14ac:dyDescent="0.25">
      <c r="A141" s="108" t="s">
        <v>401</v>
      </c>
    </row>
    <row r="142" spans="1:1" ht="34.5" x14ac:dyDescent="0.3">
      <c r="A142" s="105" t="s">
        <v>402</v>
      </c>
    </row>
    <row r="143" spans="1:1" ht="17.25" x14ac:dyDescent="0.25">
      <c r="A143" s="104" t="s">
        <v>403</v>
      </c>
    </row>
    <row r="144" spans="1:1" ht="17.25" x14ac:dyDescent="0.25">
      <c r="A144" s="104" t="s">
        <v>404</v>
      </c>
    </row>
    <row r="145" spans="1:1" ht="17.25" x14ac:dyDescent="0.25">
      <c r="A145" s="108" t="s">
        <v>405</v>
      </c>
    </row>
    <row r="146" spans="1:1" ht="17.25" x14ac:dyDescent="0.25">
      <c r="A146" s="103" t="s">
        <v>406</v>
      </c>
    </row>
    <row r="147" spans="1:1" ht="17.25" x14ac:dyDescent="0.25">
      <c r="A147" s="108" t="s">
        <v>407</v>
      </c>
    </row>
    <row r="148" spans="1:1" ht="17.25" x14ac:dyDescent="0.25">
      <c r="A148" s="104" t="s">
        <v>408</v>
      </c>
    </row>
    <row r="149" spans="1:1" ht="17.25" x14ac:dyDescent="0.25">
      <c r="A149" s="104" t="s">
        <v>409</v>
      </c>
    </row>
    <row r="150" spans="1:1" ht="17.25" x14ac:dyDescent="0.25">
      <c r="A150" s="104" t="s">
        <v>410</v>
      </c>
    </row>
    <row r="151" spans="1:1" ht="34.5" x14ac:dyDescent="0.25">
      <c r="A151" s="108" t="s">
        <v>411</v>
      </c>
    </row>
    <row r="152" spans="1:1" ht="17.25" x14ac:dyDescent="0.25">
      <c r="A152" s="103" t="s">
        <v>412</v>
      </c>
    </row>
    <row r="153" spans="1:1" ht="17.25" x14ac:dyDescent="0.25">
      <c r="A153" s="104" t="s">
        <v>413</v>
      </c>
    </row>
    <row r="154" spans="1:1" ht="17.25" x14ac:dyDescent="0.25">
      <c r="A154" s="104" t="s">
        <v>414</v>
      </c>
    </row>
    <row r="155" spans="1:1" ht="17.25" x14ac:dyDescent="0.25">
      <c r="A155" s="104" t="s">
        <v>415</v>
      </c>
    </row>
    <row r="156" spans="1:1" ht="17.25" x14ac:dyDescent="0.25">
      <c r="A156" s="104" t="s">
        <v>416</v>
      </c>
    </row>
    <row r="157" spans="1:1" ht="34.5" x14ac:dyDescent="0.25">
      <c r="A157" s="104" t="s">
        <v>417</v>
      </c>
    </row>
    <row r="158" spans="1:1" ht="34.5" x14ac:dyDescent="0.25">
      <c r="A158" s="104" t="s">
        <v>418</v>
      </c>
    </row>
    <row r="159" spans="1:1" ht="17.25" x14ac:dyDescent="0.25">
      <c r="A159" s="103" t="s">
        <v>419</v>
      </c>
    </row>
    <row r="160" spans="1:1" ht="34.5" x14ac:dyDescent="0.25">
      <c r="A160" s="104" t="s">
        <v>420</v>
      </c>
    </row>
    <row r="161" spans="1:1" ht="34.5" x14ac:dyDescent="0.25">
      <c r="A161" s="104" t="s">
        <v>421</v>
      </c>
    </row>
    <row r="162" spans="1:1" ht="17.25" x14ac:dyDescent="0.25">
      <c r="A162" s="104" t="s">
        <v>422</v>
      </c>
    </row>
    <row r="163" spans="1:1" ht="17.25" x14ac:dyDescent="0.25">
      <c r="A163" s="103" t="s">
        <v>423</v>
      </c>
    </row>
    <row r="164" spans="1:1" ht="34.5" x14ac:dyDescent="0.3">
      <c r="A164" s="105" t="s">
        <v>424</v>
      </c>
    </row>
    <row r="165" spans="1:1" ht="34.5" x14ac:dyDescent="0.25">
      <c r="A165" s="104" t="s">
        <v>425</v>
      </c>
    </row>
    <row r="166" spans="1:1" ht="17.25" x14ac:dyDescent="0.25">
      <c r="A166" s="103" t="s">
        <v>426</v>
      </c>
    </row>
    <row r="167" spans="1:1" ht="17.25" x14ac:dyDescent="0.25">
      <c r="A167" s="104" t="s">
        <v>427</v>
      </c>
    </row>
    <row r="168" spans="1:1" ht="17.25" x14ac:dyDescent="0.25">
      <c r="A168" s="103" t="s">
        <v>428</v>
      </c>
    </row>
    <row r="169" spans="1:1" ht="17.25" x14ac:dyDescent="0.3">
      <c r="A169" s="105" t="s">
        <v>429</v>
      </c>
    </row>
    <row r="170" spans="1:1" ht="17.25" x14ac:dyDescent="0.3">
      <c r="A170" s="105"/>
    </row>
    <row r="171" spans="1:1" ht="17.25" x14ac:dyDescent="0.3">
      <c r="A171" s="105"/>
    </row>
    <row r="172" spans="1:1" ht="17.25" x14ac:dyDescent="0.3">
      <c r="A172" s="105"/>
    </row>
    <row r="173" spans="1:1" ht="17.25" x14ac:dyDescent="0.3">
      <c r="A173" s="105"/>
    </row>
    <row r="174" spans="1:1" ht="17.25" x14ac:dyDescent="0.3">
      <c r="A174" s="105"/>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6</vt:i4>
      </vt:variant>
      <vt:variant>
        <vt:lpstr>Zakresy nazwane</vt:lpstr>
      </vt:variant>
      <vt:variant>
        <vt:i4>9</vt:i4>
      </vt:variant>
    </vt:vector>
  </HeadingPairs>
  <TitlesOfParts>
    <vt:vector size="15" baseType="lpstr">
      <vt:lpstr>Introduction</vt:lpstr>
      <vt:lpstr>A. HTT General</vt:lpstr>
      <vt:lpstr>B1. HTT Mortgage Assets</vt:lpstr>
      <vt:lpstr>C. HTT Harmonised Glossary</vt:lpstr>
      <vt:lpstr>E. Optional ECB-ECAIs data</vt:lpstr>
      <vt:lpstr>Disclaimer</vt:lpstr>
      <vt:lpstr>Disclaimer!general_tc</vt:lpstr>
      <vt:lpstr>'A. HTT General'!Obszar_wydruku</vt:lpstr>
      <vt:lpstr>'B1. HTT Mortgage Assets'!Obszar_wydruku</vt:lpstr>
      <vt:lpstr>'C. HTT Harmonised Glossary'!Obszar_wydruku</vt:lpstr>
      <vt:lpstr>Disclaimer!Obszar_wydruku</vt:lpstr>
      <vt:lpstr>'E. Optional ECB-ECAIs data'!Obszar_wydruku</vt:lpstr>
      <vt:lpstr>Introduction!Obszar_wydruku</vt:lpstr>
      <vt:lpstr>Disclaimer!privacy_policy</vt:lpstr>
      <vt:lpstr>Disclaimer!Tytuły_wydruku</vt:lpstr>
    </vt:vector>
  </TitlesOfParts>
  <Company>CREDIT FONCIER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Jakub Kołodziej</cp:lastModifiedBy>
  <cp:lastPrinted>2016-09-05T12:13:07Z</cp:lastPrinted>
  <dcterms:created xsi:type="dcterms:W3CDTF">2015-01-27T16:00:44Z</dcterms:created>
  <dcterms:modified xsi:type="dcterms:W3CDTF">2019-06-25T06:04:15Z</dcterms:modified>
</cp:coreProperties>
</file>