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M_Zalewska\Desktop\Lad korporacyjny\"/>
    </mc:Choice>
  </mc:AlternateContent>
  <bookViews>
    <workbookView xWindow="0" yWindow="0" windowWidth="28800" windowHeight="12432" tabRatio="666" activeTab="1"/>
  </bookViews>
  <sheets>
    <sheet name="Introduction" sheetId="22" r:id="rId1"/>
    <sheet name="A. HTT General" sheetId="25" r:id="rId2"/>
    <sheet name="B1. HTT Mortgage Assets" sheetId="9" r:id="rId3"/>
    <sheet name="C. HTT Harmonised Glossary" sheetId="11" r:id="rId4"/>
    <sheet name="E. Optional ECB-ECAIs data" sheetId="32" r:id="rId5"/>
    <sheet name="Disclaimer" sheetId="31" r:id="rId6"/>
  </sheets>
  <definedNames>
    <definedName name="acceptable_use_policy" localSheetId="5">Disclaimer!#REF!</definedName>
    <definedName name="general_tc" localSheetId="5">Disclaimer!$A$61</definedName>
    <definedName name="_xlnm.Print_Area" localSheetId="1">'A. HTT General'!$A$1:$G$220</definedName>
    <definedName name="_xlnm.Print_Area" localSheetId="2">'B1. HTT Mortgage Assets'!$A$1:$G$341</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Introduction!$B$2:$J$36</definedName>
    <definedName name="privacy_policy" localSheetId="5">Disclaimer!$A$136</definedName>
    <definedName name="_xlnm.Print_Titles" localSheetId="5">Disclaimer!$2:$2</definedName>
  </definedNames>
  <calcPr calcId="152511"/>
</workbook>
</file>

<file path=xl/calcChain.xml><?xml version="1.0" encoding="utf-8"?>
<calcChain xmlns="http://schemas.openxmlformats.org/spreadsheetml/2006/main">
  <c r="F44" i="9" l="1"/>
  <c r="D44" i="9"/>
  <c r="C44" i="9" l="1"/>
  <c r="C161" i="9" l="1"/>
  <c r="F28" i="9" l="1"/>
  <c r="C194" i="25"/>
  <c r="F29" i="9" l="1"/>
  <c r="C144" i="9"/>
  <c r="D144" i="9"/>
  <c r="C145" i="9"/>
  <c r="D145" i="9"/>
  <c r="C146" i="9"/>
  <c r="D146" i="9"/>
  <c r="D78" i="25"/>
  <c r="D45" i="25"/>
  <c r="D210" i="25" l="1"/>
  <c r="C210" i="25" l="1"/>
  <c r="C205" i="25"/>
  <c r="C207" i="25" l="1"/>
  <c r="C217" i="25"/>
  <c r="C214" i="25"/>
  <c r="C209" i="25"/>
  <c r="D209" i="25"/>
  <c r="C211" i="25" l="1"/>
  <c r="C219" i="25"/>
  <c r="C216" i="25"/>
  <c r="C215" i="25"/>
  <c r="C213" i="25"/>
  <c r="C212" i="25"/>
  <c r="C208" i="25"/>
  <c r="C206" i="25"/>
  <c r="G310" i="9"/>
  <c r="G309" i="9"/>
  <c r="G308" i="9"/>
  <c r="G307" i="9"/>
  <c r="G306" i="9"/>
  <c r="G305" i="9"/>
  <c r="D304" i="9"/>
  <c r="G303" i="9" s="1"/>
  <c r="C304" i="9"/>
  <c r="F309" i="9" s="1"/>
  <c r="D281" i="9"/>
  <c r="D282" i="9" s="1"/>
  <c r="G274" i="9" s="1"/>
  <c r="C281" i="9"/>
  <c r="C282" i="9" s="1"/>
  <c r="F284" i="9" s="1"/>
  <c r="D269" i="9"/>
  <c r="G267" i="9" s="1"/>
  <c r="C269" i="9"/>
  <c r="F267" i="9" s="1"/>
  <c r="D255" i="9"/>
  <c r="C255" i="9"/>
  <c r="G223" i="9"/>
  <c r="G222" i="9"/>
  <c r="G221" i="9"/>
  <c r="G220" i="9"/>
  <c r="G219" i="9"/>
  <c r="G218" i="9"/>
  <c r="D217" i="9"/>
  <c r="G215" i="9" s="1"/>
  <c r="C217" i="9"/>
  <c r="F220" i="9" s="1"/>
  <c r="D194" i="9"/>
  <c r="D195" i="9" s="1"/>
  <c r="C194" i="9"/>
  <c r="C195" i="9" s="1"/>
  <c r="D182" i="9"/>
  <c r="G180" i="9" s="1"/>
  <c r="C182" i="9"/>
  <c r="F181" i="9" s="1"/>
  <c r="D168" i="9"/>
  <c r="C168" i="9"/>
  <c r="D161" i="9"/>
  <c r="D155" i="9"/>
  <c r="C155" i="9"/>
  <c r="D154" i="9"/>
  <c r="C154" i="9"/>
  <c r="D153" i="9"/>
  <c r="C153" i="9"/>
  <c r="D152" i="9"/>
  <c r="C152" i="9"/>
  <c r="D151" i="9"/>
  <c r="C151" i="9"/>
  <c r="D142" i="9"/>
  <c r="C142" i="9"/>
  <c r="D141" i="9"/>
  <c r="C141" i="9"/>
  <c r="D132" i="9"/>
  <c r="C132" i="9"/>
  <c r="D131" i="9"/>
  <c r="C131" i="9"/>
  <c r="D114" i="9"/>
  <c r="C114" i="9"/>
  <c r="D113" i="9"/>
  <c r="C113" i="9"/>
  <c r="D112" i="9"/>
  <c r="C112" i="9"/>
  <c r="D111" i="9"/>
  <c r="C111" i="9"/>
  <c r="D110" i="9"/>
  <c r="C110" i="9"/>
  <c r="D109" i="9"/>
  <c r="C109" i="9"/>
  <c r="D108" i="9"/>
  <c r="C108" i="9"/>
  <c r="D107" i="9"/>
  <c r="C107" i="9"/>
  <c r="D106" i="9"/>
  <c r="C106" i="9"/>
  <c r="D105" i="9"/>
  <c r="C105" i="9"/>
  <c r="D104" i="9"/>
  <c r="C104" i="9"/>
  <c r="D103" i="9"/>
  <c r="C103" i="9"/>
  <c r="D102" i="9"/>
  <c r="C102" i="9"/>
  <c r="D101" i="9"/>
  <c r="C101" i="9"/>
  <c r="D100" i="9"/>
  <c r="C100" i="9"/>
  <c r="D99" i="9"/>
  <c r="C99" i="9"/>
  <c r="F77" i="9"/>
  <c r="D77" i="9"/>
  <c r="C77" i="9"/>
  <c r="F73" i="9"/>
  <c r="D73" i="9"/>
  <c r="C73" i="9"/>
  <c r="D36" i="9"/>
  <c r="C36" i="9"/>
  <c r="C15" i="9"/>
  <c r="C193" i="25"/>
  <c r="C195" i="25" s="1"/>
  <c r="C42" i="25" s="1"/>
  <c r="C188" i="25"/>
  <c r="C187" i="25"/>
  <c r="C159" i="25"/>
  <c r="F165" i="25" s="1"/>
  <c r="C147" i="25"/>
  <c r="F144" i="25" s="1"/>
  <c r="C142" i="25"/>
  <c r="F127" i="25" s="1"/>
  <c r="D129" i="25"/>
  <c r="D128" i="25"/>
  <c r="D127" i="25"/>
  <c r="C116" i="25"/>
  <c r="F123" i="25" s="1"/>
  <c r="D103" i="25"/>
  <c r="D102" i="25"/>
  <c r="D101" i="25"/>
  <c r="D89" i="25"/>
  <c r="C89" i="25"/>
  <c r="G76" i="25"/>
  <c r="G75" i="25"/>
  <c r="G74" i="25"/>
  <c r="G73" i="25"/>
  <c r="G72" i="25"/>
  <c r="G71" i="25"/>
  <c r="G70" i="25"/>
  <c r="G69" i="25"/>
  <c r="G68" i="25"/>
  <c r="G67" i="25"/>
  <c r="G66" i="25"/>
  <c r="C66" i="25"/>
  <c r="F75" i="25" s="1"/>
  <c r="G65" i="25"/>
  <c r="G64" i="25"/>
  <c r="G63" i="25"/>
  <c r="G62" i="25"/>
  <c r="G61" i="25"/>
  <c r="G60" i="25"/>
  <c r="G59" i="25"/>
  <c r="C54" i="25"/>
  <c r="F99" i="25" l="1"/>
  <c r="G98" i="25"/>
  <c r="F161" i="9"/>
  <c r="F36" i="9"/>
  <c r="F16" i="9"/>
  <c r="F20" i="9"/>
  <c r="F24" i="9"/>
  <c r="F17" i="9"/>
  <c r="F21" i="9"/>
  <c r="F25" i="9"/>
  <c r="F22" i="9"/>
  <c r="F19" i="9"/>
  <c r="F23" i="9"/>
  <c r="F18" i="9"/>
  <c r="F26" i="9"/>
  <c r="F13" i="9"/>
  <c r="F144" i="9"/>
  <c r="F146" i="9"/>
  <c r="F145" i="9"/>
  <c r="F296" i="9"/>
  <c r="G174" i="9"/>
  <c r="G176" i="9"/>
  <c r="F209" i="9"/>
  <c r="F298" i="9"/>
  <c r="G171" i="9"/>
  <c r="G177" i="9"/>
  <c r="F300" i="9"/>
  <c r="F174" i="9"/>
  <c r="G179" i="9"/>
  <c r="F261" i="9"/>
  <c r="F302" i="9"/>
  <c r="F141" i="9"/>
  <c r="G211" i="9"/>
  <c r="F109" i="9"/>
  <c r="F14" i="9"/>
  <c r="G209" i="9"/>
  <c r="G213" i="9"/>
  <c r="G259" i="9"/>
  <c r="F106" i="9"/>
  <c r="F153" i="9"/>
  <c r="G296" i="9"/>
  <c r="G300" i="9"/>
  <c r="F113" i="9"/>
  <c r="F104" i="9"/>
  <c r="F101" i="9"/>
  <c r="F103" i="9"/>
  <c r="F105" i="9"/>
  <c r="G173" i="9"/>
  <c r="F176" i="9"/>
  <c r="G178" i="9"/>
  <c r="G181" i="9"/>
  <c r="F213" i="9"/>
  <c r="F278" i="9"/>
  <c r="F172" i="9"/>
  <c r="F180" i="9"/>
  <c r="F274" i="9"/>
  <c r="G172" i="9"/>
  <c r="G175" i="9"/>
  <c r="F178" i="9"/>
  <c r="F265" i="9"/>
  <c r="F276" i="9"/>
  <c r="F281" i="9"/>
  <c r="G298" i="9"/>
  <c r="G302" i="9"/>
  <c r="F100" i="9"/>
  <c r="F102" i="9"/>
  <c r="F111" i="9"/>
  <c r="F132" i="9"/>
  <c r="F142" i="9"/>
  <c r="F152" i="9"/>
  <c r="F154" i="9"/>
  <c r="F171" i="9"/>
  <c r="F173" i="9"/>
  <c r="F175" i="9"/>
  <c r="F177" i="9"/>
  <c r="F179" i="9"/>
  <c r="F211" i="9"/>
  <c r="F215" i="9"/>
  <c r="F218" i="9"/>
  <c r="G263" i="9"/>
  <c r="F288" i="9"/>
  <c r="G297" i="9"/>
  <c r="G299" i="9"/>
  <c r="G301" i="9"/>
  <c r="F306" i="9"/>
  <c r="F108" i="9"/>
  <c r="F110" i="9"/>
  <c r="F155" i="9"/>
  <c r="G265" i="9"/>
  <c r="G278" i="9"/>
  <c r="F310" i="9"/>
  <c r="F112" i="9"/>
  <c r="F114" i="9"/>
  <c r="D143" i="9"/>
  <c r="G261" i="9"/>
  <c r="F280" i="9"/>
  <c r="F297" i="9"/>
  <c r="F299" i="9"/>
  <c r="F301" i="9"/>
  <c r="F303" i="9"/>
  <c r="F308" i="9"/>
  <c r="F60" i="25"/>
  <c r="F62" i="25"/>
  <c r="F64" i="25"/>
  <c r="F59" i="25"/>
  <c r="F61" i="25"/>
  <c r="F63" i="25"/>
  <c r="F65" i="25"/>
  <c r="F106" i="25"/>
  <c r="F128" i="25"/>
  <c r="F179" i="25"/>
  <c r="F187" i="25"/>
  <c r="F175" i="25"/>
  <c r="F183" i="25"/>
  <c r="F180" i="25"/>
  <c r="F176" i="25"/>
  <c r="F184" i="25"/>
  <c r="F67" i="25"/>
  <c r="F102" i="25"/>
  <c r="F108" i="25"/>
  <c r="F119" i="25"/>
  <c r="F112" i="25"/>
  <c r="F125" i="25"/>
  <c r="F101" i="25"/>
  <c r="F104" i="25"/>
  <c r="F113" i="25"/>
  <c r="G190" i="25"/>
  <c r="D142" i="25"/>
  <c r="G127" i="25" s="1"/>
  <c r="F132" i="25"/>
  <c r="F69" i="25"/>
  <c r="F76" i="25"/>
  <c r="F111" i="25"/>
  <c r="F117" i="25"/>
  <c r="F169" i="25"/>
  <c r="F138" i="25"/>
  <c r="F154" i="25"/>
  <c r="F161" i="25"/>
  <c r="F170" i="25"/>
  <c r="F191" i="25"/>
  <c r="F194" i="25"/>
  <c r="F50" i="25"/>
  <c r="F71" i="25"/>
  <c r="G83" i="25"/>
  <c r="D116" i="25"/>
  <c r="G121" i="25" s="1"/>
  <c r="F110" i="25"/>
  <c r="F115" i="25"/>
  <c r="F120" i="25"/>
  <c r="F134" i="25"/>
  <c r="F140" i="25"/>
  <c r="F145" i="25"/>
  <c r="F155" i="25"/>
  <c r="F162" i="25"/>
  <c r="F173" i="25"/>
  <c r="F177" i="25"/>
  <c r="F181" i="25"/>
  <c r="F185" i="25"/>
  <c r="F192" i="25"/>
  <c r="G195" i="25"/>
  <c r="G85" i="25"/>
  <c r="F122" i="25"/>
  <c r="F130" i="25"/>
  <c r="F136" i="25"/>
  <c r="F146" i="25"/>
  <c r="F158" i="25"/>
  <c r="F174" i="25"/>
  <c r="F178" i="25"/>
  <c r="F182" i="25"/>
  <c r="F186" i="25"/>
  <c r="F190" i="25"/>
  <c r="G192" i="25"/>
  <c r="F201" i="9"/>
  <c r="F199" i="9"/>
  <c r="F197" i="9"/>
  <c r="F194" i="9"/>
  <c r="F193" i="9"/>
  <c r="F191" i="9"/>
  <c r="F189" i="9"/>
  <c r="F187" i="9"/>
  <c r="F198" i="9"/>
  <c r="F192" i="9"/>
  <c r="F188" i="9"/>
  <c r="F200" i="9"/>
  <c r="F196" i="9"/>
  <c r="F190" i="9"/>
  <c r="G201" i="9"/>
  <c r="G199" i="9"/>
  <c r="G197" i="9"/>
  <c r="G194" i="9"/>
  <c r="G193" i="9"/>
  <c r="G191" i="9"/>
  <c r="G189" i="9"/>
  <c r="G187" i="9"/>
  <c r="G200" i="9"/>
  <c r="G196" i="9"/>
  <c r="G198" i="9"/>
  <c r="G192" i="9"/>
  <c r="G188" i="9"/>
  <c r="G190" i="9"/>
  <c r="F83" i="25"/>
  <c r="F85" i="25"/>
  <c r="F87" i="25"/>
  <c r="F92" i="25"/>
  <c r="G287" i="9"/>
  <c r="G285" i="9"/>
  <c r="G283" i="9"/>
  <c r="G279" i="9"/>
  <c r="G277" i="9"/>
  <c r="G275" i="9"/>
  <c r="G286" i="9"/>
  <c r="G87" i="25"/>
  <c r="F49" i="25"/>
  <c r="F53" i="25"/>
  <c r="F68" i="25"/>
  <c r="F70" i="25"/>
  <c r="G82" i="25"/>
  <c r="G84" i="25"/>
  <c r="G86" i="25"/>
  <c r="G88" i="25"/>
  <c r="G91" i="25"/>
  <c r="G93" i="25"/>
  <c r="G97" i="25"/>
  <c r="G99" i="25"/>
  <c r="F103" i="25"/>
  <c r="F105" i="25"/>
  <c r="F107" i="25"/>
  <c r="F109" i="25"/>
  <c r="F114" i="25"/>
  <c r="G118" i="25"/>
  <c r="F121" i="25"/>
  <c r="F124" i="25"/>
  <c r="F168" i="25"/>
  <c r="F164" i="25"/>
  <c r="F160" i="25"/>
  <c r="F157" i="25"/>
  <c r="F171" i="25"/>
  <c r="F167" i="25"/>
  <c r="F163" i="25"/>
  <c r="F156" i="25"/>
  <c r="F166" i="25"/>
  <c r="F99" i="9"/>
  <c r="F107" i="9"/>
  <c r="F131" i="9"/>
  <c r="F151" i="9"/>
  <c r="G216" i="9"/>
  <c r="G214" i="9"/>
  <c r="G212" i="9"/>
  <c r="G210" i="9"/>
  <c r="F259" i="9"/>
  <c r="F263" i="9"/>
  <c r="F287" i="9"/>
  <c r="F285" i="9"/>
  <c r="F283" i="9"/>
  <c r="F279" i="9"/>
  <c r="F277" i="9"/>
  <c r="F275" i="9"/>
  <c r="F286" i="9"/>
  <c r="F90" i="25"/>
  <c r="F94" i="25"/>
  <c r="F98" i="25"/>
  <c r="G105" i="25"/>
  <c r="F51" i="25"/>
  <c r="G90" i="25"/>
  <c r="G92" i="25"/>
  <c r="G94" i="25"/>
  <c r="C143" i="9"/>
  <c r="F268" i="9"/>
  <c r="F266" i="9"/>
  <c r="F264" i="9"/>
  <c r="F262" i="9"/>
  <c r="F260" i="9"/>
  <c r="F258" i="9"/>
  <c r="F52" i="25"/>
  <c r="F82" i="25"/>
  <c r="F84" i="25"/>
  <c r="F86" i="25"/>
  <c r="F88" i="25"/>
  <c r="F91" i="25"/>
  <c r="F93" i="25"/>
  <c r="F97" i="25"/>
  <c r="G101" i="25"/>
  <c r="F118" i="25"/>
  <c r="F141" i="25"/>
  <c r="F139" i="25"/>
  <c r="F137" i="25"/>
  <c r="F135" i="25"/>
  <c r="F133" i="25"/>
  <c r="F131" i="25"/>
  <c r="F129" i="25"/>
  <c r="F223" i="9"/>
  <c r="F221" i="9"/>
  <c r="F219" i="9"/>
  <c r="F216" i="9"/>
  <c r="F214" i="9"/>
  <c r="F212" i="9"/>
  <c r="F210" i="9"/>
  <c r="F222" i="9"/>
  <c r="G268" i="9"/>
  <c r="G266" i="9"/>
  <c r="G264" i="9"/>
  <c r="G262" i="9"/>
  <c r="G260" i="9"/>
  <c r="G258" i="9"/>
  <c r="G276" i="9"/>
  <c r="G280" i="9"/>
  <c r="G281" i="9"/>
  <c r="G284" i="9"/>
  <c r="G288" i="9"/>
  <c r="G194" i="25"/>
  <c r="F305" i="9"/>
  <c r="F307" i="9"/>
  <c r="G191" i="25"/>
  <c r="F195" i="25"/>
  <c r="F12" i="9"/>
  <c r="G113" i="25" l="1"/>
  <c r="G104" i="25"/>
  <c r="F143" i="9"/>
  <c r="F15" i="9"/>
  <c r="G182" i="9"/>
  <c r="F304" i="9"/>
  <c r="G304" i="9"/>
  <c r="F282" i="9"/>
  <c r="G217" i="9"/>
  <c r="F182" i="9"/>
  <c r="G282" i="9"/>
  <c r="F217" i="9"/>
  <c r="F195" i="9"/>
  <c r="F269" i="9"/>
  <c r="G133" i="25"/>
  <c r="G110" i="25"/>
  <c r="G103" i="25"/>
  <c r="G193" i="25"/>
  <c r="G122" i="25"/>
  <c r="G123" i="25"/>
  <c r="F66" i="25"/>
  <c r="G117" i="25"/>
  <c r="G124" i="25"/>
  <c r="G107" i="25"/>
  <c r="G119" i="25"/>
  <c r="G132" i="25"/>
  <c r="G108" i="25"/>
  <c r="G102" i="25"/>
  <c r="G111" i="25"/>
  <c r="G114" i="25"/>
  <c r="G125" i="25"/>
  <c r="G130" i="25"/>
  <c r="G140" i="25"/>
  <c r="F147" i="25"/>
  <c r="G134" i="25"/>
  <c r="G138" i="25"/>
  <c r="G128" i="25"/>
  <c r="G131" i="25"/>
  <c r="F159" i="25"/>
  <c r="G139" i="25"/>
  <c r="F193" i="25"/>
  <c r="G137" i="25"/>
  <c r="G136" i="25"/>
  <c r="G120" i="25"/>
  <c r="G106" i="25"/>
  <c r="G115" i="25"/>
  <c r="G135" i="25"/>
  <c r="G109" i="25"/>
  <c r="G112" i="25"/>
  <c r="G141" i="25"/>
  <c r="G129" i="25"/>
  <c r="F188" i="25"/>
  <c r="F54" i="25"/>
  <c r="F142" i="25"/>
  <c r="F116" i="25"/>
  <c r="G89" i="25"/>
  <c r="G195" i="9"/>
  <c r="G269" i="9"/>
  <c r="F89" i="25"/>
  <c r="G116" i="25" l="1"/>
  <c r="G142" i="25"/>
</calcChain>
</file>

<file path=xl/sharedStrings.xml><?xml version="1.0" encoding="utf-8"?>
<sst xmlns="http://schemas.openxmlformats.org/spreadsheetml/2006/main" count="1698" uniqueCount="1176">
  <si>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</si>
  <si>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</si>
  <si>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</si>
  <si>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</si>
  <si>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</si>
  <si>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</si>
  <si>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</si>
  <si>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</si>
  <si>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</si>
  <si>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</si>
  <si>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</si>
  <si>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</si>
  <si>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</si>
  <si>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</si>
  <si>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</si>
  <si>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</si>
  <si>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</si>
  <si>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</si>
  <si>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</si>
  <si>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</si>
  <si>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</si>
  <si>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</si>
  <si>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</si>
  <si>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</si>
  <si>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</si>
  <si>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</si>
  <si>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</si>
  <si>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</si>
  <si>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</si>
  <si>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</si>
  <si>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</si>
  <si>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</si>
  <si>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</si>
  <si>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</si>
  <si>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</si>
  <si>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</si>
  <si>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</si>
  <si>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</si>
  <si>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</si>
  <si>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</si>
  <si>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</si>
  <si>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</si>
  <si>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</si>
  <si>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</si>
  <si>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</si>
  <si>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</si>
  <si>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</si>
  <si>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</si>
  <si>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</si>
  <si>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</si>
  <si>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</si>
  <si>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</si>
  <si>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</si>
  <si>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</si>
  <si>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</si>
  <si>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</si>
  <si>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</si>
  <si>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</si>
  <si>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</si>
  <si>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</si>
  <si>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</si>
  <si>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</si>
  <si>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</si>
  <si>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</si>
  <si>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</si>
  <si>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</si>
  <si>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</si>
  <si>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</si>
  <si>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</si>
  <si>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</si>
  <si>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</si>
  <si>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</si>
  <si>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</si>
  <si>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</si>
  <si>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</si>
  <si>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</si>
  <si>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</si>
  <si>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</si>
  <si>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</si>
  <si>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</si>
  <si>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</si>
  <si>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</si>
  <si>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</si>
  <si>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</si>
  <si>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</si>
  <si>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</si>
  <si>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</si>
  <si>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</si>
  <si>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</si>
  <si>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</si>
  <si>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</si>
  <si>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</si>
  <si>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</si>
  <si>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</si>
  <si>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</si>
  <si>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</si>
  <si>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</si>
  <si>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</si>
  <si>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</si>
  <si>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</si>
  <si>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</si>
  <si>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</si>
  <si>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</si>
  <si>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</si>
  <si>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</si>
  <si>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</si>
  <si>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</si>
  <si>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</si>
  <si>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</si>
  <si>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</si>
  <si>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</si>
  <si>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</si>
  <si>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</si>
  <si>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</si>
  <si>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</si>
  <si>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</si>
  <si>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</si>
  <si>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</si>
  <si>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</si>
  <si>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</si>
  <si>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</si>
  <si>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</si>
  <si>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</si>
  <si>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</si>
  <si>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</si>
  <si>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</si>
  <si>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</si>
  <si>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</si>
  <si>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</si>
  <si>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</si>
  <si>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</si>
  <si>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</si>
  <si>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</si>
  <si>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</si>
  <si>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</si>
  <si>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</si>
  <si>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</si>
  <si>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</si>
  <si>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</si>
  <si>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</si>
  <si>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</si>
  <si>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</si>
  <si>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</si>
  <si>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</si>
  <si>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</si>
  <si>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</si>
  <si>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</si>
  <si>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</si>
  <si>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</si>
  <si>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</si>
  <si>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</si>
  <si>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</si>
  <si>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</si>
  <si>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</si>
  <si>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</si>
  <si>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</si>
  <si>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</si>
  <si>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</si>
  <si>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</si>
  <si>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</si>
  <si>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</si>
  <si>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</si>
  <si>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</si>
  <si>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</si>
  <si>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</si>
  <si>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</si>
  <si>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</si>
  <si>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</si>
  <si>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</si>
  <si>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</si>
  <si>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</si>
  <si>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</si>
  <si>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</si>
  <si>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</si>
  <si>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</si>
  <si>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</si>
  <si>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</si>
  <si>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</si>
  <si>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</si>
  <si>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</si>
  <si>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</si>
  <si>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</si>
  <si>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</si>
  <si>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</si>
  <si>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</si>
  <si>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</si>
  <si>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</si>
  <si>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</si>
  <si>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</si>
  <si>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</si>
  <si>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</si>
  <si>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</si>
  <si>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</si>
  <si>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</si>
  <si>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Servicer </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</si>
  <si>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</si>
  <si>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</si>
  <si>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</si>
  <si>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</si>
  <si>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</si>
  <si>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</si>
  <si>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</si>
  <si>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</si>
  <si>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</si>
  <si>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</si>
  <si>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</si>
  <si>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</si>
  <si>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</si>
  <si>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</si>
  <si>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</si>
  <si>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</si>
  <si>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</si>
  <si>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</si>
  <si>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</si>
  <si>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</si>
  <si>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</si>
  <si>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</si>
  <si>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</si>
  <si>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</si>
  <si>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</si>
  <si>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</si>
  <si>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</si>
  <si>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</si>
  <si>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</si>
  <si>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</si>
  <si>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</si>
  <si>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</si>
  <si>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</si>
  <si>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</si>
  <si>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</si>
  <si>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</si>
  <si>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</si>
  <si>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</si>
  <si>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</si>
  <si>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</si>
  <si>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</si>
  <si>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</si>
  <si>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</si>
  <si>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</si>
  <si>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</si>
  <si>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</si>
  <si>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</si>
  <si>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</si>
  <si>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</si>
  <si>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</si>
  <si>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</si>
  <si>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</si>
  <si>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</si>
  <si>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</si>
  <si>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</si>
  <si>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</si>
  <si>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</si>
  <si>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</si>
  <si>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</si>
  <si>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</si>
  <si>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</si>
  <si>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</si>
  <si>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</si>
  <si>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</si>
  <si>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</si>
  <si>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</si>
  <si>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</si>
  <si>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</si>
  <si>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</si>
  <si>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</si>
  <si>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</si>
  <si>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</si>
  <si>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</si>
  <si>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</si>
  <si>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</si>
  <si>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</si>
  <si>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</si>
  <si>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</si>
  <si>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</si>
  <si>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</si>
  <si>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</si>
  <si>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</si>
  <si>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</si>
  <si>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</si>
  <si>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</si>
  <si>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</si>
  <si>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</si>
  <si>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</si>
  <si>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</si>
  <si>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</si>
  <si>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</si>
  <si>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</si>
  <si>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</si>
  <si>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</si>
  <si>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</si>
  <si>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</si>
  <si>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</si>
  <si>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</si>
  <si>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</si>
  <si>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</si>
  <si>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</si>
  <si>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</si>
  <si>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</si>
  <si>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</si>
  <si>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</si>
  <si>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</si>
  <si>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</si>
  <si>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</si>
  <si>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</si>
  <si>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</si>
  <si>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</si>
  <si>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</si>
  <si>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</si>
  <si>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</si>
  <si>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</si>
  <si>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</si>
  <si>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</si>
  <si>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</si>
  <si>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</si>
  <si>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</si>
  <si>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</si>
  <si>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</si>
  <si>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</si>
  <si>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</si>
  <si>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</si>
  <si>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</si>
  <si>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</si>
  <si>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</si>
  <si>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</si>
  <si>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</si>
  <si>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</si>
  <si>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</si>
  <si>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</si>
  <si>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</si>
  <si>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</si>
  <si>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</si>
  <si>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</si>
  <si>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</si>
  <si>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</si>
  <si>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</si>
  <si>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</si>
  <si>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</si>
  <si>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</si>
  <si>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</si>
  <si>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</si>
  <si>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</si>
  <si>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</si>
  <si>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</si>
  <si>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</si>
  <si>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</si>
  <si>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</si>
  <si>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</si>
  <si>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</si>
  <si>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</si>
  <si>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</si>
  <si>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</si>
  <si>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</si>
  <si>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</si>
  <si>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</si>
  <si>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</si>
  <si>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</si>
  <si>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</si>
  <si>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</si>
  <si>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</si>
  <si>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</si>
  <si>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</si>
  <si>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</si>
  <si>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</si>
  <si>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</si>
  <si>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</si>
  <si>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</si>
  <si>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</si>
  <si>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</si>
  <si>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</si>
  <si>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</si>
  <si>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</si>
  <si>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</si>
  <si>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</si>
  <si>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</si>
  <si>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</si>
  <si>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</si>
  <si>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</si>
  <si>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</si>
  <si>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</si>
  <si>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</si>
  <si>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</si>
  <si>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</si>
  <si>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</si>
  <si>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</si>
  <si>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</si>
  <si>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</si>
  <si>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</si>
  <si>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</si>
  <si>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</si>
  <si>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</si>
  <si>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</si>
  <si>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</si>
  <si>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</si>
  <si>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</si>
  <si>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</si>
  <si>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</si>
  <si>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</si>
  <si>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</si>
  <si>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</si>
  <si>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</si>
  <si>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</si>
  <si>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</si>
  <si>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</si>
  <si>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</si>
  <si>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</si>
  <si>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</si>
  <si>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</si>
  <si>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</si>
  <si>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</si>
  <si>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</si>
  <si>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</si>
  <si>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</si>
  <si>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</si>
  <si>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</si>
  <si>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</si>
  <si>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</si>
  <si>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</si>
  <si>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</si>
  <si>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</si>
  <si>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</si>
  <si>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</si>
  <si>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</si>
  <si>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</si>
  <si>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</si>
  <si>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</si>
  <si>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</si>
  <si>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</si>
  <si>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</si>
  <si>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</si>
  <si>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</si>
  <si>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</si>
  <si>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</si>
  <si>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</si>
  <si>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</si>
  <si>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</si>
  <si>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</si>
  <si>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</si>
  <si>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</si>
  <si>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</si>
  <si>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</si>
  <si>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</si>
  <si>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</si>
  <si>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</si>
  <si>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</si>
  <si>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</si>
  <si>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</si>
  <si>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</si>
  <si>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</si>
  <si>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</si>
  <si>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</si>
  <si>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</si>
  <si>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</si>
  <si>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</si>
  <si>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</si>
  <si>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</si>
  <si>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</si>
  <si>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</si>
  <si>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</si>
  <si>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</si>
  <si>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</si>
  <si>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</si>
  <si>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</si>
  <si>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</si>
  <si>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</si>
  <si>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</si>
  <si>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</si>
  <si>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</si>
  <si>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</si>
  <si>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</si>
  <si>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</si>
  <si>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</si>
  <si>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</si>
  <si>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</si>
  <si>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</si>
  <si>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</si>
  <si>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</si>
  <si>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</si>
  <si>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</si>
  <si>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</si>
  <si>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</si>
  <si>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</si>
  <si>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</si>
  <si>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</si>
  <si>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</si>
  <si>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</si>
  <si>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</si>
  <si>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</si>
  <si>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</si>
  <si>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</si>
  <si>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</si>
  <si>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</si>
  <si>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</si>
  <si>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</si>
  <si>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</si>
  <si>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</si>
  <si>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</si>
  <si>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</si>
  <si>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</si>
  <si>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</si>
  <si>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</si>
  <si>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</si>
  <si>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</si>
  <si>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</si>
  <si>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</si>
  <si>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</si>
  <si>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</si>
  <si>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</si>
  <si>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</si>
  <si>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</si>
  <si>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</si>
  <si>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</si>
  <si>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</si>
  <si>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</si>
  <si>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</si>
  <si>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</si>
  <si>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</si>
  <si>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</si>
  <si>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</si>
  <si>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</si>
  <si>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</si>
  <si>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</si>
  <si>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</si>
  <si>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</si>
  <si>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</si>
  <si>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</si>
  <si>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</si>
  <si>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</si>
  <si>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</si>
  <si>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</si>
  <si>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</si>
  <si>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</si>
  <si>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</si>
  <si>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</si>
  <si>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</si>
  <si>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</si>
  <si>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</si>
  <si>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</si>
  <si>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</si>
  <si>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</si>
  <si>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</si>
  <si>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</si>
  <si>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</si>
  <si>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</si>
  <si>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</si>
  <si>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</si>
  <si>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</si>
  <si>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</si>
  <si>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</si>
  <si>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</si>
  <si>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</si>
  <si>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</si>
  <si>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</si>
  <si>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</si>
  <si>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</si>
  <si>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</si>
  <si>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</si>
  <si>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</si>
  <si>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</si>
  <si>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</si>
  <si>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</si>
  <si>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</si>
  <si>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</si>
  <si>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</si>
  <si>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</si>
  <si>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</si>
  <si>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</si>
  <si>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</si>
  <si>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</si>
  <si>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</si>
  <si>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</si>
  <si>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</si>
  <si>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</si>
  <si>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</si>
  <si>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</si>
  <si>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</si>
  <si>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</si>
  <si>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</si>
  <si>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</si>
  <si>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</si>
  <si>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G.4.1.1</t>
  </si>
  <si>
    <t>G.4.1.2</t>
  </si>
  <si>
    <t>G.4.1.3</t>
  </si>
  <si>
    <t>G.4.1.4</t>
  </si>
  <si>
    <t>G.4.1.5</t>
  </si>
  <si>
    <t>G.4.1.6</t>
  </si>
  <si>
    <t>G.4.1.7</t>
  </si>
  <si>
    <t>G.4.1.8</t>
  </si>
  <si>
    <t>G.4.1.9</t>
  </si>
  <si>
    <t>G.4.1.10</t>
  </si>
  <si>
    <t>G.4.1.11</t>
  </si>
  <si>
    <t>G.4.1.12</t>
  </si>
  <si>
    <t>G.4.1.13</t>
  </si>
  <si>
    <t>G.5.1.1</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</si>
  <si>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</si>
  <si>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</si>
  <si>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</si>
  <si>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</si>
  <si>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</si>
  <si>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</si>
  <si>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</si>
  <si>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</si>
  <si>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</si>
  <si>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</si>
  <si>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</si>
  <si>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</si>
  <si>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</si>
  <si>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</si>
  <si>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</si>
  <si>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</si>
  <si>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</si>
  <si>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</si>
  <si>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</si>
  <si>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</si>
  <si>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</si>
  <si>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</si>
  <si>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</si>
  <si>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</si>
  <si>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</si>
  <si>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</si>
  <si>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</si>
  <si>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</si>
  <si>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</si>
  <si>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</si>
  <si>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</si>
  <si>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</si>
  <si>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</si>
  <si>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</si>
  <si>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</si>
  <si>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</si>
  <si>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</si>
  <si>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</si>
  <si>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</si>
  <si>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</si>
  <si>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</si>
  <si>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</si>
  <si>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</si>
  <si>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</si>
  <si>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</si>
  <si>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</si>
  <si>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</si>
  <si>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</si>
  <si>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</si>
  <si>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</si>
  <si>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</si>
  <si>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</si>
  <si>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</si>
  <si>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</si>
  <si>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</si>
  <si>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</si>
  <si>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</si>
  <si>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</si>
  <si>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</si>
  <si>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</si>
  <si>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</si>
  <si>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</si>
  <si>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</si>
  <si>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</si>
  <si>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</si>
  <si>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</si>
  <si>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</si>
  <si>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</si>
  <si>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</si>
  <si>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</si>
  <si>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</si>
  <si>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</si>
  <si>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</si>
  <si>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</si>
  <si>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</si>
  <si>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</si>
  <si>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</si>
  <si>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</si>
  <si>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</si>
  <si>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</si>
  <si>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</si>
  <si>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</si>
  <si>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</si>
  <si>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</si>
  <si>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</si>
  <si>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</si>
  <si>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</si>
  <si>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</si>
  <si>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</si>
  <si>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</si>
  <si>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</si>
  <si>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</si>
  <si>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</si>
  <si>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</si>
  <si>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</si>
  <si>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</si>
  <si>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</si>
  <si>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</si>
  <si>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</si>
  <si>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</si>
  <si>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</si>
  <si>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</si>
  <si>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</si>
  <si>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</si>
  <si>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</si>
  <si>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</si>
  <si>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</si>
  <si>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</si>
  <si>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</si>
  <si>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</si>
  <si>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</si>
  <si>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</si>
  <si>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</si>
  <si>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</si>
  <si>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</si>
  <si>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</si>
  <si>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</si>
  <si>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</si>
  <si>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</si>
  <si>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</si>
  <si>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</si>
  <si>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</si>
  <si>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</si>
  <si>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</si>
  <si>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</si>
  <si>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</si>
  <si>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</si>
  <si>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</si>
  <si>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</si>
  <si>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</si>
  <si>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</si>
  <si>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</si>
  <si>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</si>
  <si>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</si>
  <si>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</si>
  <si>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</si>
  <si>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</si>
  <si>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</si>
  <si>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</si>
  <si>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</si>
  <si>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</si>
  <si>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</si>
  <si>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</si>
  <si>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</si>
  <si>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</si>
  <si>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</si>
  <si>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</si>
  <si>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</si>
  <si>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</si>
  <si>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</si>
  <si>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</si>
  <si>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</si>
  <si>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</si>
  <si>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</si>
  <si>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</si>
  <si>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</si>
  <si>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</si>
  <si>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</si>
  <si>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</si>
  <si>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</si>
  <si>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</si>
  <si>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</si>
  <si>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</si>
  <si>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</si>
  <si>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</si>
  <si>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</si>
  <si>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</si>
  <si>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</si>
  <si>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</si>
  <si>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</si>
  <si>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</si>
  <si>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</si>
  <si>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</si>
  <si>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</si>
  <si>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</si>
  <si>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</si>
  <si>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</si>
  <si>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</si>
  <si>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</si>
  <si>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</si>
  <si>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</si>
  <si>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</si>
  <si>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</si>
  <si>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</si>
  <si>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</si>
  <si>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</si>
  <si>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</si>
  <si>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</si>
  <si>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</si>
  <si>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</si>
  <si>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</si>
  <si>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</si>
  <si>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</si>
  <si>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</si>
  <si>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</si>
  <si>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</si>
  <si>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</si>
  <si>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</si>
  <si>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</si>
  <si>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</si>
  <si>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</si>
  <si>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</si>
  <si>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</si>
  <si>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</si>
  <si>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</si>
  <si>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</si>
  <si>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</si>
  <si>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</si>
  <si>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</si>
  <si>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</si>
  <si>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</si>
  <si>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</si>
  <si>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</si>
  <si>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</si>
  <si>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</si>
  <si>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</si>
  <si>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</si>
  <si>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</si>
  <si>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</si>
  <si>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</si>
  <si>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</si>
  <si>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</si>
  <si>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</si>
  <si>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</si>
  <si>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</si>
  <si>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</si>
  <si>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</si>
  <si>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</si>
  <si>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</si>
  <si>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</si>
  <si>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</si>
  <si>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</si>
  <si>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</si>
  <si>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</si>
  <si>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</si>
  <si>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</si>
  <si>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</si>
  <si>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</si>
  <si>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</si>
  <si>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</si>
  <si>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</si>
  <si>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</si>
  <si>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</si>
  <si>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</si>
  <si>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</si>
  <si>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</si>
  <si>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</si>
  <si>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</si>
  <si>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</si>
  <si>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</si>
  <si>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</si>
  <si>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</si>
  <si>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</si>
  <si>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</si>
  <si>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</si>
  <si>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</si>
  <si>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</si>
  <si>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</si>
  <si>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</si>
  <si>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</si>
  <si>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</si>
  <si>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</si>
  <si>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</si>
  <si>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</si>
  <si>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</si>
  <si>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</si>
  <si>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</si>
  <si>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</si>
  <si>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</si>
  <si>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</si>
  <si>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</si>
  <si>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</si>
  <si>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</si>
  <si>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</si>
  <si>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</si>
  <si>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</si>
  <si>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</si>
  <si>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</si>
  <si>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</si>
  <si>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</si>
  <si>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</si>
  <si>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</si>
  <si>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</si>
  <si>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</si>
  <si>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</si>
  <si>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</si>
  <si>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</si>
  <si>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</si>
  <si>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</si>
  <si>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</si>
  <si>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</si>
  <si>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</si>
  <si>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</si>
  <si>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</si>
  <si>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</si>
  <si>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</si>
  <si>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</si>
  <si>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</si>
  <si>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</si>
  <si>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</si>
  <si>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</si>
  <si>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</si>
  <si>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</si>
  <si>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</si>
  <si>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</si>
  <si>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</si>
  <si>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</si>
  <si>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</si>
  <si>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</si>
  <si>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</si>
  <si>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</si>
  <si>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</si>
  <si>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</si>
  <si>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</si>
  <si>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</si>
  <si>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</si>
  <si>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</si>
  <si>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</si>
  <si>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</si>
  <si>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</si>
  <si>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</si>
  <si>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</si>
  <si>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</si>
  <si>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</si>
  <si>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</si>
  <si>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</si>
  <si>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</si>
  <si>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</si>
  <si>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</si>
  <si>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</si>
  <si>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</si>
  <si>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</si>
  <si>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</si>
  <si>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</si>
  <si>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</si>
  <si>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</si>
  <si>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</si>
  <si>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</si>
  <si>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</si>
  <si>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</si>
  <si>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 Total Extended Maturity</t>
  </si>
  <si>
    <t>Contractual (mn)</t>
  </si>
  <si>
    <t>Expected Upon Prepayments (mn)</t>
  </si>
  <si>
    <t>% Total Contractual</t>
  </si>
  <si>
    <t>% Total Expected Upon Prepayments</t>
  </si>
  <si>
    <t xml:space="preserve">% Total Initial Maturity </t>
  </si>
  <si>
    <t>Buy-to-let/Non-owner occupied</t>
  </si>
  <si>
    <t>Polska</t>
  </si>
  <si>
    <t>mBank Hipoteczny S.A.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</si>
  <si>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</si>
  <si>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</si>
  <si>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</si>
  <si>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</si>
  <si>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</si>
  <si>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</si>
  <si>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</si>
  <si>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</si>
  <si>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</si>
  <si>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</si>
  <si>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</si>
  <si>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</si>
  <si>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</si>
  <si>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</si>
  <si>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</si>
  <si>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</si>
  <si>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</si>
  <si>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</si>
  <si>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</si>
  <si>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</si>
  <si>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</si>
  <si>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</si>
  <si>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</si>
  <si>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</si>
  <si>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</si>
  <si>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</si>
  <si>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</si>
  <si>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</si>
  <si>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</si>
  <si>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</si>
  <si>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</si>
  <si>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https://mhipoteczny.pl/</t>
  </si>
  <si>
    <t>Annuity with principal grace period</t>
  </si>
  <si>
    <t>OG.3.6.1</t>
  </si>
  <si>
    <t>OG.3.6.2</t>
  </si>
  <si>
    <t>OG.3.6.3</t>
  </si>
  <si>
    <t>OG.3.6.4</t>
  </si>
  <si>
    <t>OG.3.6.5</t>
  </si>
  <si>
    <t>OG.3.6.6</t>
  </si>
  <si>
    <t>OG.3.6.7</t>
  </si>
  <si>
    <t>OG.3.6.8</t>
  </si>
  <si>
    <t>OG.3.6.9</t>
  </si>
  <si>
    <t>OG.3.11.1</t>
  </si>
  <si>
    <t>OG.3.11.2</t>
  </si>
  <si>
    <t>OM.7.4.1</t>
  </si>
  <si>
    <t>OM.7.4.2</t>
  </si>
  <si>
    <t>OM.7.4.3</t>
  </si>
  <si>
    <t>OM.7.4.4</t>
  </si>
  <si>
    <t>OM.7.4.5</t>
  </si>
  <si>
    <t>OM.7.4.6</t>
  </si>
  <si>
    <t>OM.7.4.7</t>
  </si>
  <si>
    <t>OM.7.4.8</t>
  </si>
  <si>
    <t>OM.7.4.9</t>
  </si>
  <si>
    <t>OM.7.4.10</t>
  </si>
  <si>
    <t>M.7.5.17</t>
  </si>
  <si>
    <t>M.7.5.18</t>
  </si>
  <si>
    <t>M.7.5.19</t>
  </si>
  <si>
    <t>M.7.5.20</t>
  </si>
  <si>
    <t>M.7.5.21</t>
  </si>
  <si>
    <t>M.7.5.22</t>
  </si>
  <si>
    <t>M.7.5.23</t>
  </si>
  <si>
    <t>M.7.5.24</t>
  </si>
  <si>
    <t>M.7.5.25</t>
  </si>
  <si>
    <t>M.7.5.26</t>
  </si>
  <si>
    <t>M.7.5.27</t>
  </si>
  <si>
    <t>M.7.5.28</t>
  </si>
  <si>
    <t>M.7.5.29</t>
  </si>
  <si>
    <t>M.7.5.30</t>
  </si>
  <si>
    <t>M.7.5.31</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</si>
  <si>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</si>
  <si>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</si>
  <si>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</si>
  <si>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</si>
  <si>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</si>
  <si>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</si>
  <si>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</si>
  <si>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</si>
  <si>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</si>
  <si>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</si>
  <si>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</si>
  <si>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</si>
  <si>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</si>
  <si>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</si>
  <si>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</si>
  <si>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</si>
  <si>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</si>
  <si>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</si>
  <si>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</si>
  <si>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</si>
  <si>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</si>
  <si>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</si>
  <si>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</si>
  <si>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</si>
  <si>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</si>
  <si>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</si>
  <si>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</si>
  <si>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</si>
  <si>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</si>
  <si>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</si>
  <si>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</si>
  <si>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</si>
  <si>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</si>
  <si>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</si>
  <si>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</si>
  <si>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</si>
  <si>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</si>
  <si>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</si>
  <si>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</si>
  <si>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</si>
  <si>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</si>
  <si>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</si>
  <si>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</si>
  <si>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</si>
  <si>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</si>
  <si>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</si>
  <si>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</si>
  <si>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</si>
  <si>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</si>
  <si>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</si>
  <si>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</si>
  <si>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</si>
  <si>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</si>
  <si>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</si>
  <si>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</si>
  <si>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</si>
  <si>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</si>
  <si>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</si>
  <si>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</si>
  <si>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</si>
  <si>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</si>
  <si>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</si>
  <si>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</si>
  <si>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</si>
  <si>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</si>
  <si>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</si>
  <si>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</si>
  <si>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</si>
  <si>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</si>
  <si>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</si>
  <si>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</si>
  <si>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</si>
  <si>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</si>
  <si>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</si>
  <si>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</si>
  <si>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</si>
  <si>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</si>
  <si>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</si>
  <si>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</si>
  <si>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</si>
  <si>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</si>
  <si>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</si>
  <si>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</si>
  <si>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</si>
  <si>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</si>
  <si>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</si>
  <si>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</si>
  <si>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</si>
  <si>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</si>
  <si>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</si>
  <si>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</si>
  <si>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</si>
  <si>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</si>
  <si>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</si>
  <si>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</si>
  <si>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</si>
  <si>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</si>
  <si>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</si>
  <si>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</si>
  <si>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</si>
  <si>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</si>
  <si>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</si>
  <si>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</si>
  <si>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</si>
  <si>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</si>
  <si>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</si>
  <si>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</si>
  <si>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</si>
  <si>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</si>
  <si>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</si>
  <si>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</si>
  <si>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</si>
  <si>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</si>
  <si>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</si>
  <si>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</si>
  <si>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</si>
  <si>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</si>
  <si>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</si>
  <si>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</si>
  <si>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</si>
  <si>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</si>
  <si>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</si>
  <si>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</si>
  <si>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</si>
  <si>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</si>
  <si>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</si>
  <si>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</si>
  <si>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</si>
  <si>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</si>
  <si>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</si>
  <si>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</si>
  <si>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</si>
  <si>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</si>
  <si>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</si>
  <si>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</si>
  <si>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</si>
  <si>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Contact names</t>
  </si>
  <si>
    <t>Immediate Parent</t>
  </si>
  <si>
    <t>Ultimate Parent</t>
  </si>
  <si>
    <t>Fitch Issuer Default Rating (IDR)</t>
  </si>
  <si>
    <t>Fitch Mortgage Covered Bonds Rating</t>
  </si>
  <si>
    <t>mBank S.A.</t>
  </si>
  <si>
    <t>Commerzbank AG</t>
  </si>
  <si>
    <t>BBB outlook: stable</t>
  </si>
  <si>
    <t>A outlook: positive</t>
  </si>
  <si>
    <t>Wojciech Zdunkiewicz
tel.: +48 515 163 187
mail: wojciech.zdunkiewicz@mhipoteczny.pl</t>
  </si>
  <si>
    <t>CQS (credit quality steps)</t>
  </si>
  <si>
    <t>ECB repo eligibility</t>
  </si>
  <si>
    <t>National Bank of Poland repo eligibility</t>
  </si>
  <si>
    <t>Y</t>
  </si>
  <si>
    <t>NO</t>
  </si>
  <si>
    <t>YES - only PLN demoninated</t>
  </si>
  <si>
    <t>30/09/17</t>
  </si>
  <si>
    <t>Liquidity buffer (mn)</t>
  </si>
  <si>
    <t>registered in the Cover Pool</t>
  </si>
  <si>
    <t>http://mhipoteczny.pl/relacje-inwestorskie/#tab-002</t>
  </si>
  <si>
    <t>Maturity (mn)</t>
  </si>
  <si>
    <t>Initial Maturity</t>
  </si>
  <si>
    <t>Extended Maturity</t>
  </si>
  <si>
    <t>o/w substitute assets</t>
  </si>
  <si>
    <t>o/w liquidity buffer</t>
  </si>
  <si>
    <t>Cut-off Date: 30/09/17</t>
  </si>
  <si>
    <t>Worksheet E. Optional ECB-ECAIs data</t>
  </si>
  <si>
    <t>Reporting Date: 13/10/17</t>
  </si>
  <si>
    <t>Maximum final maturity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</si>
</sst>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0,,"/>
    <numFmt numFmtId="166" formatCode="#,##0,,"/>
  </numFmts>
  <fonts count="46"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b/>
      <sz val="11"/>
      <color rgb="FFFF0000"/>
      <name val="Calibri"/>
      <family val="2"/>
      <scheme val="minor"/>
    </font>
    <font>
      <i/>
      <sz val="11"/>
      <color rgb="FF0070C0"/>
      <name val="Calibri"/>
      <family val="2"/>
      <scheme val="minor"/>
    </font>
    <font>
      <sz val="11"/>
      <name val="Calibri"/>
      <family val="2"/>
      <charset val="238"/>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cellStyleXfs>
  <cellXfs count="133">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0" fontId="0" fillId="0" borderId="0" xfId="0" applyFont="1" applyAlignment="1"/>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4" fillId="0" borderId="0" xfId="0" applyNumberFormat="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24" fillId="0" borderId="0" xfId="116" applyFill="1" applyBorder="1" applyAlignment="1">
      <alignment horizontal="left" wrapText="1"/>
    </xf>
    <xf numFmtId="0" fontId="45" fillId="0" borderId="0" xfId="0" applyFont="1" applyFill="1" applyBorder="1" applyAlignment="1">
      <alignment horizontal="center" vertical="center" wrapText="1"/>
    </xf>
    <xf numFmtId="10" fontId="45" fillId="0" borderId="0" xfId="1" applyNumberFormat="1" applyFont="1" applyFill="1" applyBorder="1" applyAlignment="1">
      <alignment horizontal="center" vertical="center" wrapText="1"/>
    </xf>
    <xf numFmtId="0" fontId="28" fillId="0" borderId="0" xfId="0" applyFont="1" applyFill="1" applyBorder="1" applyAlignment="1">
      <alignment horizontal="center" vertical="center"/>
    </xf>
    <xf numFmtId="4" fontId="0" fillId="0" borderId="0" xfId="0" applyNumberFormat="1"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3" fillId="0" borderId="0" xfId="0" applyFont="1" applyFill="1" applyBorder="1" applyAlignment="1">
      <alignment horizontal="left" vertical="center" wrapText="1"/>
    </xf>
  </cellXfs>
  <cellStyles count="117">
    <cellStyle name="Comma 2" xfId="11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mhipoteczny.pl/relacje-inwestorskie/"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ec.europa.eu/finance/bank/docs/regcapital/acts/delegated/141010_delegated-act-liquidity-coverage_en.pdf" TargetMode="External"/><Relationship Id="rId5" Type="http://schemas.openxmlformats.org/officeDocument/2006/relationships/hyperlink" Target="http://ec.europa.eu/finance/bank/regcapital/legislation-in-force/index_en.htm" TargetMode="External"/><Relationship Id="rId4" Type="http://schemas.openxmlformats.org/officeDocument/2006/relationships/hyperlink" Target="http://eur-lex.europa.eu/legal-content/EN/TXT/?qid=1432731300799&amp;uri=CELEX:02009L0065-20140917"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6"/>
  <sheetViews>
    <sheetView zoomScaleNormal="100" workbookViewId="0">
      <selection activeCell="N16" sqref="N16"/>
    </sheetView>
  </sheetViews>
  <sheetFormatPr defaultRowHeight="14.4" x14ac:dyDescent="0.3"/>
  <cols>
    <col min="1" max="1" width="8.88671875" style="13" collapsed="1"/>
    <col min="2" max="10" width="12.44140625" style="13" customWidth="1" collapsed="1"/>
    <col min="11" max="18" width="8.88671875" style="13" collapsed="1"/>
  </cols>
  <sheetData>
    <row r="1" spans="1:18" ht="15" thickBot="1" x14ac:dyDescent="0.35"/>
    <row r="2" spans="1:18" x14ac:dyDescent="0.3">
      <c r="B2" s="20"/>
      <c r="C2" s="21"/>
      <c r="D2" s="21"/>
      <c r="E2" s="21"/>
      <c r="F2" s="21"/>
      <c r="G2" s="21"/>
      <c r="H2" s="21"/>
      <c r="I2" s="21"/>
      <c r="J2" s="22"/>
    </row>
    <row r="3" spans="1:18" x14ac:dyDescent="0.3">
      <c r="B3" s="23"/>
      <c r="C3" s="24"/>
      <c r="D3" s="24"/>
      <c r="E3" s="24"/>
      <c r="F3" s="24"/>
      <c r="G3" s="24"/>
      <c r="H3" s="24"/>
      <c r="I3" s="24"/>
      <c r="J3" s="25"/>
    </row>
    <row r="4" spans="1:18" x14ac:dyDescent="0.3">
      <c r="B4" s="23"/>
      <c r="C4" s="24"/>
      <c r="D4" s="24"/>
      <c r="E4" s="24"/>
      <c r="F4" s="24"/>
      <c r="G4" s="24"/>
      <c r="H4" s="24"/>
      <c r="I4" s="24"/>
      <c r="J4" s="25"/>
    </row>
    <row r="5" spans="1:18" ht="31.2" x14ac:dyDescent="0.35">
      <c r="B5" s="23"/>
      <c r="C5" s="24"/>
      <c r="D5" s="24"/>
      <c r="E5" s="26"/>
      <c r="F5" s="27" t="s">
        <v>48</v>
      </c>
      <c r="G5" s="24"/>
      <c r="H5" s="24"/>
      <c r="I5" s="24"/>
      <c r="J5" s="25"/>
    </row>
    <row r="6" spans="1:18" x14ac:dyDescent="0.3">
      <c r="B6" s="23"/>
      <c r="C6" s="24"/>
      <c r="D6" s="24"/>
      <c r="E6" s="24"/>
      <c r="F6" s="28"/>
      <c r="G6" s="24"/>
      <c r="H6" s="24"/>
      <c r="I6" s="24"/>
      <c r="J6" s="25"/>
    </row>
    <row r="7" spans="1:18" ht="25.8" x14ac:dyDescent="0.3">
      <c r="B7" s="23"/>
      <c r="C7" s="24"/>
      <c r="D7" s="24"/>
      <c r="E7" s="24"/>
      <c r="F7" s="29" t="s">
        <v>105</v>
      </c>
      <c r="G7" s="24"/>
      <c r="H7" s="24"/>
      <c r="I7" s="24"/>
      <c r="J7" s="25"/>
    </row>
    <row r="8" spans="1:18" ht="25.8" x14ac:dyDescent="0.3">
      <c r="B8" s="23"/>
      <c r="C8" s="24"/>
      <c r="D8" s="24"/>
      <c r="E8" s="24"/>
      <c r="F8" s="29" t="s">
        <v>941</v>
      </c>
      <c r="G8" s="24"/>
      <c r="H8" s="24"/>
      <c r="I8" s="24"/>
      <c r="J8" s="25"/>
    </row>
    <row r="9" spans="1:18" s="50" customFormat="1" ht="21" x14ac:dyDescent="0.3">
      <c r="A9" s="13"/>
      <c r="B9" s="23"/>
      <c r="C9" s="24"/>
      <c r="D9" s="24"/>
      <c r="E9" s="24"/>
      <c r="F9" s="128" t="s">
        <v>1174</v>
      </c>
      <c r="G9" s="24"/>
      <c r="H9" s="24"/>
      <c r="I9" s="24"/>
      <c r="J9" s="25"/>
      <c r="K9" s="13"/>
      <c r="L9" s="13"/>
      <c r="M9" s="13"/>
      <c r="N9" s="13"/>
      <c r="O9" s="13"/>
      <c r="P9" s="13"/>
      <c r="Q9" s="13"/>
      <c r="R9" s="13"/>
    </row>
    <row r="10" spans="1:18" ht="21" x14ac:dyDescent="0.3">
      <c r="B10" s="23"/>
      <c r="C10" s="24"/>
      <c r="D10" s="24"/>
      <c r="E10" s="24"/>
      <c r="F10" s="81" t="s">
        <v>1172</v>
      </c>
      <c r="G10" s="24"/>
      <c r="H10" s="24"/>
      <c r="I10" s="24"/>
      <c r="J10" s="25"/>
    </row>
    <row r="11" spans="1:18" s="50" customFormat="1" ht="21" x14ac:dyDescent="0.3">
      <c r="A11" s="13"/>
      <c r="B11" s="23"/>
      <c r="C11" s="24"/>
      <c r="D11" s="24"/>
      <c r="E11" s="24"/>
      <c r="F11" s="81"/>
      <c r="G11" s="24"/>
      <c r="H11" s="24"/>
      <c r="I11" s="24"/>
      <c r="J11" s="25"/>
      <c r="K11" s="13"/>
      <c r="L11" s="13"/>
      <c r="M11" s="13"/>
      <c r="N11" s="13"/>
      <c r="O11" s="13"/>
      <c r="P11" s="13"/>
      <c r="Q11" s="13"/>
      <c r="R11" s="13"/>
    </row>
    <row r="12" spans="1:18" x14ac:dyDescent="0.3">
      <c r="B12" s="23"/>
      <c r="C12" s="24"/>
      <c r="D12" s="24"/>
      <c r="E12" s="24"/>
      <c r="F12" s="24"/>
      <c r="G12" s="24"/>
      <c r="H12" s="24"/>
      <c r="I12" s="24"/>
      <c r="J12" s="25"/>
    </row>
    <row r="13" spans="1:18" x14ac:dyDescent="0.3">
      <c r="B13" s="23"/>
      <c r="C13" s="24"/>
      <c r="D13" s="24"/>
      <c r="E13" s="24"/>
      <c r="F13" s="24"/>
      <c r="G13" s="24"/>
      <c r="H13" s="24"/>
      <c r="I13" s="24"/>
      <c r="J13" s="25"/>
    </row>
    <row r="14" spans="1:18" x14ac:dyDescent="0.3">
      <c r="B14" s="23"/>
      <c r="C14" s="24"/>
      <c r="D14" s="24"/>
      <c r="E14" s="24"/>
      <c r="F14" s="24"/>
      <c r="G14" s="24"/>
      <c r="H14" s="24"/>
      <c r="I14" s="24"/>
      <c r="J14" s="25"/>
    </row>
    <row r="15" spans="1:18" x14ac:dyDescent="0.3">
      <c r="B15" s="23"/>
      <c r="C15" s="24"/>
      <c r="D15" s="24"/>
      <c r="E15" s="24"/>
      <c r="F15" s="24"/>
      <c r="G15" s="24"/>
      <c r="H15" s="24"/>
      <c r="I15" s="24"/>
      <c r="J15" s="25"/>
    </row>
    <row r="16" spans="1:18" x14ac:dyDescent="0.3">
      <c r="B16" s="23"/>
      <c r="C16" s="24"/>
      <c r="D16" s="24"/>
      <c r="E16" s="24"/>
      <c r="F16" s="24"/>
      <c r="G16" s="24"/>
      <c r="H16" s="24"/>
      <c r="I16" s="24"/>
      <c r="J16" s="25"/>
    </row>
    <row r="17" spans="1:18" x14ac:dyDescent="0.3">
      <c r="B17" s="23"/>
      <c r="C17" s="24"/>
      <c r="D17" s="24"/>
      <c r="E17" s="24"/>
      <c r="F17" s="24"/>
      <c r="G17" s="24"/>
      <c r="H17" s="24"/>
      <c r="I17" s="24"/>
      <c r="J17" s="25"/>
    </row>
    <row r="18" spans="1:18" x14ac:dyDescent="0.3">
      <c r="B18" s="23"/>
      <c r="C18" s="24"/>
      <c r="D18" s="24"/>
      <c r="E18" s="24"/>
      <c r="F18" s="24"/>
      <c r="G18" s="24"/>
      <c r="H18" s="24"/>
      <c r="I18" s="24"/>
      <c r="J18" s="25"/>
    </row>
    <row r="19" spans="1:18" x14ac:dyDescent="0.3">
      <c r="B19" s="23"/>
      <c r="C19" s="24"/>
      <c r="D19" s="24"/>
      <c r="E19" s="24"/>
      <c r="F19" s="24"/>
      <c r="G19" s="24"/>
      <c r="H19" s="24"/>
      <c r="I19" s="24"/>
      <c r="J19" s="25"/>
    </row>
    <row r="20" spans="1:18" x14ac:dyDescent="0.3">
      <c r="B20" s="23"/>
      <c r="C20" s="24"/>
      <c r="D20" s="24"/>
      <c r="E20" s="24"/>
      <c r="F20" s="24"/>
      <c r="G20" s="24"/>
      <c r="H20" s="24"/>
      <c r="I20" s="24"/>
      <c r="J20" s="25"/>
    </row>
    <row r="21" spans="1:18" x14ac:dyDescent="0.3">
      <c r="B21" s="23"/>
      <c r="C21" s="24"/>
      <c r="D21" s="24"/>
      <c r="E21" s="24"/>
      <c r="F21" s="24"/>
      <c r="G21" s="24"/>
      <c r="H21" s="24"/>
      <c r="I21" s="24"/>
      <c r="J21" s="25"/>
    </row>
    <row r="22" spans="1:18" x14ac:dyDescent="0.3">
      <c r="B22" s="23"/>
      <c r="C22" s="24"/>
      <c r="D22" s="24"/>
      <c r="E22" s="24"/>
      <c r="F22" s="30" t="s">
        <v>49</v>
      </c>
      <c r="G22" s="24"/>
      <c r="H22" s="24"/>
      <c r="I22" s="24"/>
      <c r="J22" s="25"/>
    </row>
    <row r="23" spans="1:18" x14ac:dyDescent="0.3">
      <c r="B23" s="23"/>
      <c r="C23" s="24"/>
      <c r="D23" s="24"/>
      <c r="E23" s="24"/>
      <c r="F23" s="31"/>
      <c r="G23" s="24"/>
      <c r="H23" s="24"/>
      <c r="I23" s="24"/>
      <c r="J23" s="25"/>
    </row>
    <row r="24" spans="1:18" x14ac:dyDescent="0.3">
      <c r="B24" s="23"/>
      <c r="C24" s="24"/>
      <c r="D24" s="130" t="s">
        <v>226</v>
      </c>
      <c r="E24" s="131" t="s">
        <v>50</v>
      </c>
      <c r="F24" s="131"/>
      <c r="G24" s="131"/>
      <c r="H24" s="131"/>
      <c r="I24" s="24"/>
      <c r="J24" s="25"/>
    </row>
    <row r="25" spans="1:18" x14ac:dyDescent="0.3">
      <c r="B25" s="23"/>
      <c r="C25" s="24"/>
      <c r="D25" s="24"/>
      <c r="E25" s="32"/>
      <c r="F25" s="32"/>
      <c r="G25" s="32"/>
      <c r="H25" s="24"/>
      <c r="I25" s="24"/>
      <c r="J25" s="25"/>
    </row>
    <row r="26" spans="1:18" x14ac:dyDescent="0.3">
      <c r="B26" s="23"/>
      <c r="C26" s="24"/>
      <c r="D26" s="130" t="s">
        <v>246</v>
      </c>
      <c r="E26" s="131"/>
      <c r="F26" s="131"/>
      <c r="G26" s="131"/>
      <c r="H26" s="131"/>
      <c r="I26" s="24"/>
      <c r="J26" s="25"/>
    </row>
    <row r="27" spans="1:18" s="50" customFormat="1" x14ac:dyDescent="0.3">
      <c r="A27" s="13"/>
      <c r="B27" s="23"/>
      <c r="C27" s="24"/>
      <c r="D27" s="68"/>
      <c r="E27" s="68"/>
      <c r="F27" s="68"/>
      <c r="G27" s="68"/>
      <c r="H27" s="68"/>
      <c r="I27" s="24"/>
      <c r="J27" s="25"/>
      <c r="K27" s="13"/>
      <c r="L27" s="13"/>
      <c r="M27" s="13"/>
      <c r="N27" s="13"/>
      <c r="O27" s="13"/>
      <c r="P27" s="13"/>
      <c r="Q27" s="13"/>
      <c r="R27" s="13"/>
    </row>
    <row r="28" spans="1:18" s="50" customFormat="1" x14ac:dyDescent="0.3">
      <c r="A28" s="13"/>
      <c r="B28" s="23"/>
      <c r="C28" s="24"/>
      <c r="D28" s="130" t="s">
        <v>247</v>
      </c>
      <c r="E28" s="131" t="s">
        <v>50</v>
      </c>
      <c r="F28" s="131"/>
      <c r="G28" s="131"/>
      <c r="H28" s="131"/>
      <c r="I28" s="24"/>
      <c r="J28" s="25"/>
      <c r="K28" s="13"/>
      <c r="L28" s="13"/>
      <c r="M28" s="13"/>
      <c r="N28" s="13"/>
      <c r="O28" s="13"/>
      <c r="P28" s="13"/>
      <c r="Q28" s="13"/>
      <c r="R28" s="13"/>
    </row>
    <row r="29" spans="1:18" x14ac:dyDescent="0.3">
      <c r="B29" s="23"/>
      <c r="C29" s="24"/>
      <c r="D29" s="32"/>
      <c r="E29" s="32"/>
      <c r="F29" s="32"/>
      <c r="G29" s="32"/>
      <c r="H29" s="32"/>
      <c r="I29" s="24"/>
      <c r="J29" s="25"/>
    </row>
    <row r="30" spans="1:18" s="83" customFormat="1" x14ac:dyDescent="0.3">
      <c r="A30" s="86"/>
      <c r="B30" s="23"/>
      <c r="C30" s="24"/>
      <c r="D30" s="130" t="s">
        <v>1173</v>
      </c>
      <c r="E30" s="131" t="s">
        <v>50</v>
      </c>
      <c r="F30" s="131"/>
      <c r="G30" s="131"/>
      <c r="H30" s="131"/>
      <c r="I30" s="24"/>
      <c r="J30" s="25"/>
      <c r="K30" s="86"/>
      <c r="L30" s="86"/>
      <c r="M30" s="86"/>
      <c r="N30" s="86"/>
      <c r="O30" s="86"/>
      <c r="P30" s="86"/>
      <c r="Q30" s="86"/>
      <c r="R30" s="86"/>
    </row>
    <row r="31" spans="1:18" s="83" customFormat="1" x14ac:dyDescent="0.3">
      <c r="A31" s="86"/>
      <c r="B31" s="23"/>
      <c r="C31" s="24"/>
      <c r="D31" s="120"/>
      <c r="E31" s="120"/>
      <c r="F31" s="120"/>
      <c r="G31" s="120"/>
      <c r="H31" s="120"/>
      <c r="I31" s="24"/>
      <c r="J31" s="25"/>
      <c r="K31" s="86"/>
      <c r="L31" s="86"/>
      <c r="M31" s="86"/>
      <c r="N31" s="86"/>
      <c r="O31" s="86"/>
      <c r="P31" s="86"/>
      <c r="Q31" s="86"/>
      <c r="R31" s="86"/>
    </row>
    <row r="32" spans="1:18" x14ac:dyDescent="0.3">
      <c r="B32" s="23"/>
      <c r="C32" s="24"/>
      <c r="D32" s="130" t="s">
        <v>420</v>
      </c>
      <c r="E32" s="131" t="s">
        <v>50</v>
      </c>
      <c r="F32" s="131"/>
      <c r="G32" s="131"/>
      <c r="H32" s="131"/>
      <c r="I32" s="24"/>
      <c r="J32" s="25"/>
    </row>
    <row r="33" spans="2:10" x14ac:dyDescent="0.3">
      <c r="B33" s="23"/>
      <c r="C33" s="24"/>
      <c r="D33" s="24"/>
      <c r="E33" s="24"/>
      <c r="F33" s="24"/>
      <c r="G33" s="24"/>
      <c r="H33" s="24"/>
      <c r="I33" s="24"/>
      <c r="J33" s="25"/>
    </row>
    <row r="34" spans="2:10" x14ac:dyDescent="0.3">
      <c r="B34" s="23"/>
      <c r="C34" s="24"/>
      <c r="D34" s="24"/>
      <c r="E34" s="24"/>
      <c r="F34" s="31"/>
      <c r="G34" s="24"/>
      <c r="H34" s="24"/>
      <c r="I34" s="24"/>
      <c r="J34" s="25"/>
    </row>
    <row r="35" spans="2:10" x14ac:dyDescent="0.3">
      <c r="B35" s="23"/>
      <c r="C35" s="24"/>
      <c r="D35" s="24"/>
      <c r="E35" s="24"/>
      <c r="F35" s="24"/>
      <c r="G35" s="24"/>
      <c r="H35" s="24"/>
      <c r="I35" s="24"/>
      <c r="J35" s="25"/>
    </row>
    <row r="36" spans="2:10" ht="15" thickBot="1" x14ac:dyDescent="0.35">
      <c r="B36" s="33"/>
      <c r="C36" s="34"/>
      <c r="D36" s="34"/>
      <c r="E36" s="34"/>
      <c r="F36" s="34"/>
      <c r="G36" s="34"/>
      <c r="H36" s="34"/>
      <c r="I36" s="34"/>
      <c r="J36" s="35"/>
    </row>
  </sheetData>
  <mergeCells count="5">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 ref="D30:H3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220"/>
  <sheetViews>
    <sheetView tabSelected="1" zoomScale="90" zoomScaleNormal="90" zoomScalePageLayoutView="80" workbookViewId="0">
      <selection activeCell="C55" sqref="C55"/>
    </sheetView>
  </sheetViews>
  <sheetFormatPr defaultColWidth="8.88671875" defaultRowHeight="14.4" outlineLevelRow="1" x14ac:dyDescent="0.3"/>
  <cols>
    <col min="1" max="1" width="13.33203125" style="53" customWidth="1" collapsed="1"/>
    <col min="2" max="2" width="60.6640625" style="53" customWidth="1" collapsed="1"/>
    <col min="3" max="3" width="37.5546875" style="53" customWidth="1" collapsed="1"/>
    <col min="4" max="4" width="26.109375" style="53" customWidth="1" collapsed="1"/>
    <col min="5" max="5" width="9.5546875" style="53" customWidth="1" collapsed="1"/>
    <col min="6" max="6" width="24.44140625" style="53" customWidth="1" collapsed="1"/>
    <col min="7" max="7" width="24.44140625" style="52" customWidth="1" collapsed="1"/>
    <col min="8" max="8" width="25.6640625" style="52" customWidth="1" collapsed="1"/>
    <col min="9" max="14" width="8.88671875" style="51"/>
    <col min="15" max="16384" width="8.88671875" style="51" collapsed="1"/>
  </cols>
  <sheetData>
    <row r="1" spans="1:7" ht="31.5" customHeight="1" x14ac:dyDescent="0.3">
      <c r="A1" s="19" t="s">
        <v>224</v>
      </c>
      <c r="B1" s="19"/>
      <c r="C1" s="52"/>
      <c r="D1" s="52"/>
      <c r="E1" s="52"/>
      <c r="F1" s="52"/>
    </row>
    <row r="2" spans="1:7" ht="15.75" customHeight="1" thickBot="1" x14ac:dyDescent="0.35">
      <c r="A2" s="52"/>
      <c r="B2" s="91"/>
      <c r="C2" s="91"/>
      <c r="D2" s="52"/>
      <c r="E2" s="52"/>
      <c r="F2" s="52"/>
    </row>
    <row r="3" spans="1:7" ht="19.5" customHeight="1" thickBot="1" x14ac:dyDescent="0.35">
      <c r="A3" s="44"/>
      <c r="B3" s="43" t="s">
        <v>129</v>
      </c>
      <c r="C3" s="92" t="s">
        <v>969</v>
      </c>
      <c r="D3" s="44"/>
      <c r="E3" s="44"/>
      <c r="F3" s="44"/>
      <c r="G3" s="44"/>
    </row>
    <row r="4" spans="1:7" ht="15" thickBot="1" x14ac:dyDescent="0.35"/>
    <row r="5" spans="1:7" ht="19.5" customHeight="1" thickBot="1" x14ac:dyDescent="0.35">
      <c r="A5" s="61"/>
      <c r="B5" s="78" t="s">
        <v>223</v>
      </c>
      <c r="C5" s="61"/>
      <c r="E5" s="3"/>
      <c r="F5" s="3"/>
    </row>
    <row r="6" spans="1:7" ht="15" customHeight="1" x14ac:dyDescent="0.3">
      <c r="B6" s="72" t="s">
        <v>58</v>
      </c>
    </row>
    <row r="7" spans="1:7" ht="15" customHeight="1" x14ac:dyDescent="0.3">
      <c r="B7" s="73" t="s">
        <v>59</v>
      </c>
      <c r="D7" s="112"/>
    </row>
    <row r="8" spans="1:7" ht="15" customHeight="1" x14ac:dyDescent="0.3">
      <c r="B8" s="73" t="s">
        <v>60</v>
      </c>
      <c r="F8" s="53" t="s">
        <v>207</v>
      </c>
    </row>
    <row r="9" spans="1:7" ht="15" customHeight="1" x14ac:dyDescent="0.3">
      <c r="B9" s="75" t="s">
        <v>209</v>
      </c>
    </row>
    <row r="10" spans="1:7" ht="15" customHeight="1" x14ac:dyDescent="0.3">
      <c r="B10" s="75" t="s">
        <v>210</v>
      </c>
    </row>
    <row r="11" spans="1:7" ht="15.75" customHeight="1" thickBot="1" x14ac:dyDescent="0.35">
      <c r="B11" s="76" t="s">
        <v>211</v>
      </c>
    </row>
    <row r="12" spans="1:7" ht="15" customHeight="1" x14ac:dyDescent="0.3">
      <c r="B12" s="65"/>
    </row>
    <row r="13" spans="1:7" ht="37.5" customHeight="1" x14ac:dyDescent="0.3">
      <c r="A13" s="18" t="s">
        <v>218</v>
      </c>
      <c r="B13" s="18" t="s">
        <v>58</v>
      </c>
      <c r="C13" s="15"/>
      <c r="D13" s="15"/>
      <c r="E13" s="15"/>
      <c r="F13" s="15"/>
      <c r="G13" s="16"/>
    </row>
    <row r="14" spans="1:7" ht="15" customHeight="1" x14ac:dyDescent="0.3">
      <c r="A14" s="53" t="s">
        <v>421</v>
      </c>
      <c r="B14" s="45" t="s">
        <v>51</v>
      </c>
      <c r="C14" s="53" t="s">
        <v>940</v>
      </c>
      <c r="E14" s="3"/>
      <c r="F14" s="3"/>
    </row>
    <row r="15" spans="1:7" ht="15" customHeight="1" x14ac:dyDescent="0.3">
      <c r="A15" s="89" t="s">
        <v>422</v>
      </c>
      <c r="B15" s="45" t="s">
        <v>52</v>
      </c>
      <c r="C15" s="53" t="s">
        <v>941</v>
      </c>
      <c r="E15" s="3"/>
      <c r="F15" s="3"/>
    </row>
    <row r="16" spans="1:7" ht="15" customHeight="1" x14ac:dyDescent="0.3">
      <c r="A16" s="89" t="s">
        <v>423</v>
      </c>
      <c r="B16" s="45" t="s">
        <v>189</v>
      </c>
      <c r="C16" s="53" t="s">
        <v>973</v>
      </c>
      <c r="E16" s="3"/>
      <c r="F16" s="3"/>
    </row>
    <row r="17" spans="1:7" ht="15" customHeight="1" x14ac:dyDescent="0.3">
      <c r="A17" s="89" t="s">
        <v>424</v>
      </c>
      <c r="B17" s="45" t="s">
        <v>227</v>
      </c>
      <c r="C17" s="85" t="s">
        <v>1163</v>
      </c>
      <c r="E17" s="3"/>
      <c r="F17" s="3"/>
    </row>
    <row r="18" spans="1:7" ht="57.6" outlineLevel="1" x14ac:dyDescent="0.3">
      <c r="A18" s="89" t="s">
        <v>425</v>
      </c>
      <c r="B18" s="90" t="s">
        <v>1147</v>
      </c>
      <c r="C18" s="89" t="s">
        <v>1156</v>
      </c>
      <c r="D18" s="89"/>
      <c r="E18" s="3"/>
      <c r="F18" s="3"/>
    </row>
    <row r="19" spans="1:7" ht="15" customHeight="1" outlineLevel="1" x14ac:dyDescent="0.3">
      <c r="A19" s="89" t="s">
        <v>426</v>
      </c>
      <c r="B19" s="90" t="s">
        <v>1148</v>
      </c>
      <c r="C19" s="89" t="s">
        <v>1152</v>
      </c>
      <c r="E19" s="3"/>
      <c r="F19" s="3"/>
    </row>
    <row r="20" spans="1:7" ht="15" customHeight="1" outlineLevel="1" x14ac:dyDescent="0.3">
      <c r="A20" s="89" t="s">
        <v>427</v>
      </c>
      <c r="B20" s="90" t="s">
        <v>1149</v>
      </c>
      <c r="C20" s="89" t="s">
        <v>1153</v>
      </c>
      <c r="E20" s="3"/>
      <c r="F20" s="3"/>
    </row>
    <row r="21" spans="1:7" ht="15" customHeight="1" outlineLevel="1" x14ac:dyDescent="0.3">
      <c r="A21" s="89" t="s">
        <v>428</v>
      </c>
      <c r="B21" s="90" t="s">
        <v>1150</v>
      </c>
      <c r="C21" s="89" t="s">
        <v>1154</v>
      </c>
      <c r="E21" s="3"/>
      <c r="F21" s="3"/>
    </row>
    <row r="22" spans="1:7" ht="15" customHeight="1" outlineLevel="1" x14ac:dyDescent="0.3">
      <c r="A22" s="89" t="s">
        <v>429</v>
      </c>
      <c r="B22" s="90" t="s">
        <v>1151</v>
      </c>
      <c r="C22" s="89" t="s">
        <v>1155</v>
      </c>
      <c r="E22" s="3"/>
      <c r="F22" s="3"/>
    </row>
    <row r="23" spans="1:7" ht="15" customHeight="1" outlineLevel="1" x14ac:dyDescent="0.3">
      <c r="A23" s="89" t="s">
        <v>430</v>
      </c>
      <c r="B23" s="49"/>
      <c r="E23" s="3"/>
      <c r="F23" s="3"/>
    </row>
    <row r="24" spans="1:7" ht="15" customHeight="1" outlineLevel="1" x14ac:dyDescent="0.3">
      <c r="A24" s="89" t="s">
        <v>431</v>
      </c>
      <c r="B24" s="49"/>
      <c r="E24" s="3"/>
      <c r="F24" s="3"/>
    </row>
    <row r="25" spans="1:7" ht="15" customHeight="1" outlineLevel="1" x14ac:dyDescent="0.3">
      <c r="A25" s="89" t="s">
        <v>432</v>
      </c>
      <c r="B25" s="49"/>
      <c r="E25" s="3"/>
      <c r="F25" s="3"/>
    </row>
    <row r="26" spans="1:7" ht="18.75" customHeight="1" x14ac:dyDescent="0.3">
      <c r="A26" s="15"/>
      <c r="B26" s="18" t="s">
        <v>59</v>
      </c>
      <c r="C26" s="15"/>
      <c r="D26" s="15"/>
      <c r="E26" s="15"/>
      <c r="F26" s="15"/>
      <c r="G26" s="16"/>
    </row>
    <row r="27" spans="1:7" ht="15" customHeight="1" x14ac:dyDescent="0.3">
      <c r="A27" s="53" t="s">
        <v>433</v>
      </c>
      <c r="B27" s="63" t="s">
        <v>184</v>
      </c>
      <c r="C27" s="89" t="s">
        <v>1160</v>
      </c>
      <c r="D27" s="54"/>
      <c r="E27" s="54"/>
      <c r="F27" s="54"/>
    </row>
    <row r="28" spans="1:7" ht="15" customHeight="1" x14ac:dyDescent="0.3">
      <c r="A28" s="89" t="s">
        <v>434</v>
      </c>
      <c r="B28" s="63" t="s">
        <v>185</v>
      </c>
      <c r="C28" s="89" t="s">
        <v>1160</v>
      </c>
      <c r="D28" s="54"/>
      <c r="E28" s="54"/>
      <c r="F28" s="54"/>
    </row>
    <row r="29" spans="1:7" ht="15" customHeight="1" x14ac:dyDescent="0.3">
      <c r="A29" s="89" t="s">
        <v>435</v>
      </c>
      <c r="B29" s="63" t="s">
        <v>38</v>
      </c>
      <c r="C29" s="89" t="s">
        <v>187</v>
      </c>
      <c r="E29" s="54"/>
      <c r="F29" s="54"/>
    </row>
    <row r="30" spans="1:7" ht="15" customHeight="1" outlineLevel="1" x14ac:dyDescent="0.3">
      <c r="A30" s="89" t="s">
        <v>436</v>
      </c>
      <c r="B30" s="90" t="s">
        <v>1157</v>
      </c>
      <c r="C30" s="89">
        <v>2</v>
      </c>
      <c r="E30" s="54"/>
      <c r="F30" s="54"/>
    </row>
    <row r="31" spans="1:7" ht="15" customHeight="1" outlineLevel="1" x14ac:dyDescent="0.3">
      <c r="A31" s="89" t="s">
        <v>437</v>
      </c>
      <c r="B31" s="90" t="s">
        <v>1158</v>
      </c>
      <c r="C31" s="89" t="s">
        <v>1161</v>
      </c>
      <c r="E31" s="54"/>
      <c r="F31" s="54"/>
    </row>
    <row r="32" spans="1:7" ht="15" customHeight="1" outlineLevel="1" x14ac:dyDescent="0.3">
      <c r="A32" s="89" t="s">
        <v>438</v>
      </c>
      <c r="B32" s="90" t="s">
        <v>1159</v>
      </c>
      <c r="C32" s="89" t="s">
        <v>1162</v>
      </c>
      <c r="E32" s="54"/>
      <c r="F32" s="54"/>
    </row>
    <row r="33" spans="1:7" ht="15" customHeight="1" outlineLevel="1" x14ac:dyDescent="0.3">
      <c r="A33" s="89" t="s">
        <v>439</v>
      </c>
      <c r="B33" s="63"/>
      <c r="C33" s="89"/>
      <c r="E33" s="54"/>
      <c r="F33" s="54"/>
    </row>
    <row r="34" spans="1:7" ht="15" customHeight="1" outlineLevel="1" x14ac:dyDescent="0.3">
      <c r="A34" s="89" t="s">
        <v>440</v>
      </c>
      <c r="B34" s="63"/>
      <c r="E34" s="54"/>
      <c r="F34" s="54"/>
    </row>
    <row r="35" spans="1:7" ht="15" customHeight="1" outlineLevel="1" x14ac:dyDescent="0.3">
      <c r="A35" s="89" t="s">
        <v>441</v>
      </c>
      <c r="B35" s="12"/>
      <c r="E35" s="54"/>
      <c r="F35" s="54"/>
    </row>
    <row r="36" spans="1:7" ht="18.75" customHeight="1" x14ac:dyDescent="0.3">
      <c r="A36" s="18"/>
      <c r="B36" s="18" t="s">
        <v>60</v>
      </c>
      <c r="C36" s="18"/>
      <c r="D36" s="15"/>
      <c r="E36" s="15"/>
      <c r="F36" s="15"/>
      <c r="G36" s="16"/>
    </row>
    <row r="37" spans="1:7" ht="15" customHeight="1" x14ac:dyDescent="0.3">
      <c r="A37" s="58"/>
      <c r="B37" s="60" t="s">
        <v>593</v>
      </c>
      <c r="C37" s="58" t="s">
        <v>82</v>
      </c>
      <c r="D37" s="58"/>
      <c r="E37" s="46"/>
      <c r="F37" s="59"/>
      <c r="G37" s="59"/>
    </row>
    <row r="38" spans="1:7" ht="15" customHeight="1" x14ac:dyDescent="0.3">
      <c r="A38" s="53" t="s">
        <v>442</v>
      </c>
      <c r="B38" s="54" t="s">
        <v>133</v>
      </c>
      <c r="C38" s="112">
        <v>8092661672.3100004</v>
      </c>
      <c r="F38" s="54"/>
    </row>
    <row r="39" spans="1:7" ht="15" customHeight="1" x14ac:dyDescent="0.3">
      <c r="A39" s="89" t="s">
        <v>443</v>
      </c>
      <c r="B39" s="54" t="s">
        <v>134</v>
      </c>
      <c r="C39" s="112">
        <v>5722328040</v>
      </c>
      <c r="F39" s="54"/>
    </row>
    <row r="40" spans="1:7" ht="15" customHeight="1" outlineLevel="1" x14ac:dyDescent="0.3">
      <c r="A40" s="89" t="s">
        <v>444</v>
      </c>
      <c r="B40" s="70" t="s">
        <v>228</v>
      </c>
      <c r="C40" s="112" t="s">
        <v>186</v>
      </c>
      <c r="F40" s="54"/>
    </row>
    <row r="41" spans="1:7" ht="15" customHeight="1" outlineLevel="1" x14ac:dyDescent="0.3">
      <c r="A41" s="89" t="s">
        <v>445</v>
      </c>
      <c r="B41" s="70" t="s">
        <v>229</v>
      </c>
      <c r="C41" s="112" t="s">
        <v>186</v>
      </c>
      <c r="F41" s="54"/>
    </row>
    <row r="42" spans="1:7" ht="15" customHeight="1" outlineLevel="1" x14ac:dyDescent="0.3">
      <c r="A42" s="89" t="s">
        <v>446</v>
      </c>
      <c r="B42" s="124" t="s">
        <v>1164</v>
      </c>
      <c r="C42" s="112">
        <f>C195</f>
        <v>57479084.069999993</v>
      </c>
      <c r="D42" s="89" t="s">
        <v>1165</v>
      </c>
      <c r="F42" s="54"/>
    </row>
    <row r="43" spans="1:7" ht="15" customHeight="1" outlineLevel="1" x14ac:dyDescent="0.3">
      <c r="A43" s="89" t="s">
        <v>447</v>
      </c>
      <c r="B43" s="54"/>
      <c r="C43" s="112"/>
      <c r="F43" s="54"/>
    </row>
    <row r="44" spans="1:7" ht="15" customHeight="1" x14ac:dyDescent="0.3">
      <c r="A44" s="58"/>
      <c r="B44" s="60" t="s">
        <v>594</v>
      </c>
      <c r="C44" s="58" t="s">
        <v>26</v>
      </c>
      <c r="D44" s="58" t="s">
        <v>27</v>
      </c>
      <c r="E44" s="46"/>
      <c r="F44" s="59" t="s">
        <v>130</v>
      </c>
      <c r="G44" s="59" t="s">
        <v>161</v>
      </c>
    </row>
    <row r="45" spans="1:7" ht="15" customHeight="1" x14ac:dyDescent="0.3">
      <c r="A45" s="89" t="s">
        <v>448</v>
      </c>
      <c r="B45" s="89" t="s">
        <v>230</v>
      </c>
      <c r="C45" s="47">
        <v>0.1</v>
      </c>
      <c r="D45" s="47">
        <f>C38/C39-1</f>
        <v>0.41422540192400437</v>
      </c>
      <c r="E45" s="89"/>
      <c r="F45" s="47" t="s">
        <v>187</v>
      </c>
      <c r="G45" s="47" t="s">
        <v>187</v>
      </c>
    </row>
    <row r="46" spans="1:7" ht="15" hidden="1" customHeight="1" outlineLevel="1" x14ac:dyDescent="0.3">
      <c r="A46" s="89" t="s">
        <v>449</v>
      </c>
      <c r="B46" s="89" t="s">
        <v>212</v>
      </c>
      <c r="C46" s="89"/>
      <c r="D46" s="89"/>
      <c r="E46" s="89"/>
      <c r="F46" s="89"/>
      <c r="G46" s="89"/>
    </row>
    <row r="47" spans="1:7" ht="15" hidden="1" customHeight="1" outlineLevel="1" x14ac:dyDescent="0.3">
      <c r="A47" s="89" t="s">
        <v>450</v>
      </c>
      <c r="B47" s="49" t="s">
        <v>213</v>
      </c>
      <c r="D47" s="89"/>
      <c r="E47" s="89"/>
      <c r="F47" s="89"/>
      <c r="G47" s="89"/>
    </row>
    <row r="48" spans="1:7" ht="15" customHeight="1" collapsed="1" x14ac:dyDescent="0.3">
      <c r="A48" s="58"/>
      <c r="B48" s="60" t="s">
        <v>595</v>
      </c>
      <c r="C48" s="58" t="s">
        <v>82</v>
      </c>
      <c r="D48" s="58"/>
      <c r="E48" s="46"/>
      <c r="F48" s="59" t="s">
        <v>146</v>
      </c>
      <c r="G48" s="59"/>
    </row>
    <row r="49" spans="1:8" s="115" customFormat="1" ht="15" customHeight="1" x14ac:dyDescent="0.3">
      <c r="A49" s="112" t="s">
        <v>451</v>
      </c>
      <c r="B49" s="113" t="s">
        <v>32</v>
      </c>
      <c r="C49" s="112">
        <v>8020140756.3800001</v>
      </c>
      <c r="D49" s="112"/>
      <c r="E49" s="113"/>
      <c r="F49" s="47">
        <f>IF($C$54=0,"",IF(C49="[for completion]","",C49/$C$54))</f>
        <v>0.99103868184949095</v>
      </c>
      <c r="G49" s="47"/>
      <c r="H49" s="114"/>
    </row>
    <row r="50" spans="1:8" s="115" customFormat="1" ht="15" customHeight="1" x14ac:dyDescent="0.3">
      <c r="A50" s="112" t="s">
        <v>452</v>
      </c>
      <c r="B50" s="113" t="s">
        <v>183</v>
      </c>
      <c r="C50" s="112">
        <v>0</v>
      </c>
      <c r="D50" s="112"/>
      <c r="E50" s="113"/>
      <c r="F50" s="47">
        <f>IF($C$54=0,"",IF(C50="[for completion]","",C50/$C$54))</f>
        <v>0</v>
      </c>
      <c r="G50" s="47"/>
      <c r="H50" s="114"/>
    </row>
    <row r="51" spans="1:8" s="115" customFormat="1" ht="15" customHeight="1" x14ac:dyDescent="0.3">
      <c r="A51" s="112" t="s">
        <v>453</v>
      </c>
      <c r="B51" s="113" t="s">
        <v>156</v>
      </c>
      <c r="C51" s="112">
        <v>0</v>
      </c>
      <c r="D51" s="112"/>
      <c r="E51" s="113"/>
      <c r="F51" s="47">
        <f>IF($C$54=0,"",IF(C51="[for completion]","",C51/$C$54))</f>
        <v>0</v>
      </c>
      <c r="G51" s="47"/>
      <c r="H51" s="114"/>
    </row>
    <row r="52" spans="1:8" s="115" customFormat="1" ht="15" customHeight="1" x14ac:dyDescent="0.3">
      <c r="A52" s="112" t="s">
        <v>454</v>
      </c>
      <c r="B52" s="113" t="s">
        <v>53</v>
      </c>
      <c r="C52" s="112">
        <v>72520915.930000007</v>
      </c>
      <c r="D52" s="112"/>
      <c r="E52" s="113"/>
      <c r="F52" s="47">
        <f>IF($C$54=0,"",IF(C52="[for completion]","",C52/$C$54))</f>
        <v>8.9613181505089849E-3</v>
      </c>
      <c r="G52" s="47"/>
      <c r="H52" s="114"/>
    </row>
    <row r="53" spans="1:8" s="115" customFormat="1" ht="15" customHeight="1" x14ac:dyDescent="0.3">
      <c r="A53" s="112" t="s">
        <v>455</v>
      </c>
      <c r="B53" s="112" t="s">
        <v>2</v>
      </c>
      <c r="C53" s="112">
        <v>0</v>
      </c>
      <c r="D53" s="112"/>
      <c r="E53" s="113"/>
      <c r="F53" s="47">
        <f>IF($C$54=0,"",IF(C53="[for completion]","",C53/$C$54))</f>
        <v>0</v>
      </c>
      <c r="G53" s="47"/>
      <c r="H53" s="114"/>
    </row>
    <row r="54" spans="1:8" ht="15" customHeight="1" x14ac:dyDescent="0.3">
      <c r="A54" s="89" t="s">
        <v>456</v>
      </c>
      <c r="B54" s="56" t="s">
        <v>1</v>
      </c>
      <c r="C54" s="112">
        <f>SUM(C49:C53)</f>
        <v>8092661672.3100004</v>
      </c>
      <c r="D54" s="55"/>
      <c r="E54" s="55"/>
      <c r="F54" s="47">
        <f>SUM(F49:F53)</f>
        <v>0.99999999999999989</v>
      </c>
      <c r="G54" s="47"/>
    </row>
    <row r="55" spans="1:8" ht="24.75" customHeight="1" x14ac:dyDescent="0.3">
      <c r="A55" s="58"/>
      <c r="B55" s="60" t="s">
        <v>596</v>
      </c>
      <c r="C55" s="58" t="s">
        <v>934</v>
      </c>
      <c r="D55" s="58" t="s">
        <v>935</v>
      </c>
      <c r="E55" s="46"/>
      <c r="F55" s="59" t="s">
        <v>936</v>
      </c>
      <c r="G55" s="108" t="s">
        <v>937</v>
      </c>
    </row>
    <row r="56" spans="1:8" ht="15" customHeight="1" x14ac:dyDescent="0.3">
      <c r="A56" s="89" t="s">
        <v>457</v>
      </c>
      <c r="B56" s="54" t="s">
        <v>81</v>
      </c>
      <c r="C56" s="118">
        <v>17.33307985446001</v>
      </c>
      <c r="D56" s="112" t="s">
        <v>186</v>
      </c>
      <c r="E56" s="45"/>
      <c r="F56" s="47"/>
      <c r="G56" s="47"/>
    </row>
    <row r="57" spans="1:8" ht="15" customHeight="1" x14ac:dyDescent="0.3">
      <c r="B57" s="54"/>
      <c r="C57" s="112"/>
      <c r="D57" s="112"/>
      <c r="E57" s="45"/>
      <c r="F57" s="47"/>
      <c r="G57" s="47"/>
    </row>
    <row r="58" spans="1:8" ht="15" customHeight="1" x14ac:dyDescent="0.3">
      <c r="B58" s="54" t="s">
        <v>78</v>
      </c>
      <c r="C58" s="112"/>
      <c r="D58" s="112"/>
      <c r="E58" s="45"/>
      <c r="F58" s="47"/>
      <c r="G58" s="47"/>
    </row>
    <row r="59" spans="1:8" ht="15" customHeight="1" x14ac:dyDescent="0.3">
      <c r="A59" s="89" t="s">
        <v>458</v>
      </c>
      <c r="B59" s="7" t="s">
        <v>11</v>
      </c>
      <c r="C59" s="112">
        <v>391081417.13999999</v>
      </c>
      <c r="D59" s="112" t="s">
        <v>186</v>
      </c>
      <c r="E59" s="7"/>
      <c r="F59" s="47">
        <f t="shared" ref="F59:F65" si="0">IF($C$66=0,"",IF(C59="[for completion]","",C59/$C$66))</f>
        <v>4.8325437658926391E-2</v>
      </c>
      <c r="G59" s="47" t="str">
        <f t="shared" ref="G59:G71" si="1">IF($D$66=0,"",IF(D59="ND1","",D59/$D$66))</f>
        <v/>
      </c>
    </row>
    <row r="60" spans="1:8" ht="15" customHeight="1" x14ac:dyDescent="0.3">
      <c r="A60" s="89" t="s">
        <v>459</v>
      </c>
      <c r="B60" s="7" t="s">
        <v>5</v>
      </c>
      <c r="C60" s="112">
        <v>506675881.73000002</v>
      </c>
      <c r="D60" s="112" t="s">
        <v>186</v>
      </c>
      <c r="E60" s="7"/>
      <c r="F60" s="47">
        <f t="shared" si="0"/>
        <v>6.2609299912246605E-2</v>
      </c>
      <c r="G60" s="47" t="str">
        <f t="shared" si="1"/>
        <v/>
      </c>
    </row>
    <row r="61" spans="1:8" ht="15" customHeight="1" x14ac:dyDescent="0.3">
      <c r="A61" s="89" t="s">
        <v>460</v>
      </c>
      <c r="B61" s="7" t="s">
        <v>6</v>
      </c>
      <c r="C61" s="112">
        <v>496266262.86000001</v>
      </c>
      <c r="D61" s="112" t="s">
        <v>186</v>
      </c>
      <c r="E61" s="7"/>
      <c r="F61" s="47">
        <f t="shared" si="0"/>
        <v>6.1322996432438749E-2</v>
      </c>
      <c r="G61" s="47" t="str">
        <f t="shared" si="1"/>
        <v/>
      </c>
      <c r="H61" s="129"/>
    </row>
    <row r="62" spans="1:8" ht="15" customHeight="1" x14ac:dyDescent="0.3">
      <c r="A62" s="89" t="s">
        <v>461</v>
      </c>
      <c r="B62" s="7" t="s">
        <v>7</v>
      </c>
      <c r="C62" s="112">
        <v>587848391.82000005</v>
      </c>
      <c r="D62" s="112" t="s">
        <v>186</v>
      </c>
      <c r="E62" s="7"/>
      <c r="F62" s="47">
        <f t="shared" si="0"/>
        <v>7.2639684645583638E-2</v>
      </c>
      <c r="G62" s="47" t="str">
        <f t="shared" si="1"/>
        <v/>
      </c>
    </row>
    <row r="63" spans="1:8" ht="15" customHeight="1" x14ac:dyDescent="0.3">
      <c r="A63" s="89" t="s">
        <v>462</v>
      </c>
      <c r="B63" s="7" t="s">
        <v>8</v>
      </c>
      <c r="C63" s="112">
        <v>349744499.25999999</v>
      </c>
      <c r="D63" s="112" t="s">
        <v>186</v>
      </c>
      <c r="E63" s="7"/>
      <c r="F63" s="47">
        <f t="shared" si="0"/>
        <v>4.3217486832137338E-2</v>
      </c>
      <c r="G63" s="47" t="str">
        <f t="shared" si="1"/>
        <v/>
      </c>
    </row>
    <row r="64" spans="1:8" ht="15" customHeight="1" x14ac:dyDescent="0.3">
      <c r="A64" s="89" t="s">
        <v>463</v>
      </c>
      <c r="B64" s="7" t="s">
        <v>9</v>
      </c>
      <c r="C64" s="112">
        <v>2189435085.9099998</v>
      </c>
      <c r="D64" s="112" t="s">
        <v>186</v>
      </c>
      <c r="E64" s="7"/>
      <c r="F64" s="47">
        <f t="shared" si="0"/>
        <v>0.27054573322908221</v>
      </c>
      <c r="G64" s="47" t="str">
        <f t="shared" si="1"/>
        <v/>
      </c>
    </row>
    <row r="65" spans="1:7" ht="15" customHeight="1" x14ac:dyDescent="0.3">
      <c r="A65" s="89" t="s">
        <v>464</v>
      </c>
      <c r="B65" s="7" t="s">
        <v>10</v>
      </c>
      <c r="C65" s="112">
        <v>3571610133.5900006</v>
      </c>
      <c r="D65" s="112" t="s">
        <v>186</v>
      </c>
      <c r="E65" s="7"/>
      <c r="F65" s="47">
        <f t="shared" si="0"/>
        <v>0.44133936128958495</v>
      </c>
      <c r="G65" s="47" t="str">
        <f t="shared" si="1"/>
        <v/>
      </c>
    </row>
    <row r="66" spans="1:7" ht="15" customHeight="1" x14ac:dyDescent="0.3">
      <c r="A66" s="89" t="s">
        <v>465</v>
      </c>
      <c r="B66" s="8" t="s">
        <v>1</v>
      </c>
      <c r="C66" s="112">
        <f>SUM(C59:C65)</f>
        <v>8092661672.3100014</v>
      </c>
      <c r="D66" s="112" t="s">
        <v>186</v>
      </c>
      <c r="E66" s="54"/>
      <c r="F66" s="47">
        <f>SUM(F59:F65)</f>
        <v>0.99999999999999989</v>
      </c>
      <c r="G66" s="47" t="str">
        <f t="shared" si="1"/>
        <v/>
      </c>
    </row>
    <row r="67" spans="1:7" ht="15" customHeight="1" outlineLevel="1" x14ac:dyDescent="0.3">
      <c r="A67" s="89" t="s">
        <v>466</v>
      </c>
      <c r="B67" s="64" t="s">
        <v>40</v>
      </c>
      <c r="C67" s="112">
        <v>0</v>
      </c>
      <c r="D67" s="112" t="s">
        <v>186</v>
      </c>
      <c r="E67" s="54"/>
      <c r="F67" s="47">
        <f>IF($C$66=0,"",IF(C67="[for completion]","",C67/$C$66))</f>
        <v>0</v>
      </c>
      <c r="G67" s="47" t="str">
        <f t="shared" si="1"/>
        <v/>
      </c>
    </row>
    <row r="68" spans="1:7" ht="15" customHeight="1" outlineLevel="1" x14ac:dyDescent="0.3">
      <c r="A68" s="89" t="s">
        <v>467</v>
      </c>
      <c r="B68" s="64" t="s">
        <v>41</v>
      </c>
      <c r="C68" s="112">
        <v>200218944.78999999</v>
      </c>
      <c r="D68" s="112" t="s">
        <v>186</v>
      </c>
      <c r="E68" s="54"/>
      <c r="F68" s="47">
        <f>IF($C$66=0,"",IF(C68="[for completion]","",C68/$C$66))</f>
        <v>2.4740802581068325E-2</v>
      </c>
      <c r="G68" s="47" t="str">
        <f t="shared" si="1"/>
        <v/>
      </c>
    </row>
    <row r="69" spans="1:7" ht="15" customHeight="1" outlineLevel="1" x14ac:dyDescent="0.3">
      <c r="A69" s="89" t="s">
        <v>468</v>
      </c>
      <c r="B69" s="64" t="s">
        <v>42</v>
      </c>
      <c r="C69" s="112">
        <v>190862472.34999999</v>
      </c>
      <c r="D69" s="112" t="s">
        <v>186</v>
      </c>
      <c r="E69" s="54"/>
      <c r="F69" s="47">
        <f>IF($C$66=0,"",IF(C69="[for completion]","",C69/$C$66))</f>
        <v>2.3584635077858067E-2</v>
      </c>
      <c r="G69" s="47" t="str">
        <f t="shared" si="1"/>
        <v/>
      </c>
    </row>
    <row r="70" spans="1:7" ht="15" customHeight="1" outlineLevel="1" x14ac:dyDescent="0.3">
      <c r="A70" s="89" t="s">
        <v>469</v>
      </c>
      <c r="B70" s="64" t="s">
        <v>44</v>
      </c>
      <c r="C70" s="112">
        <v>224338529.93000001</v>
      </c>
      <c r="D70" s="112" t="s">
        <v>186</v>
      </c>
      <c r="E70" s="54"/>
      <c r="F70" s="47">
        <f>IF($C$66=0,"",IF(C70="[for completion]","",C70/$C$66))</f>
        <v>2.7721229307979205E-2</v>
      </c>
      <c r="G70" s="47" t="str">
        <f t="shared" si="1"/>
        <v/>
      </c>
    </row>
    <row r="71" spans="1:7" ht="15" customHeight="1" outlineLevel="1" x14ac:dyDescent="0.3">
      <c r="A71" s="89" t="s">
        <v>470</v>
      </c>
      <c r="B71" s="64" t="s">
        <v>45</v>
      </c>
      <c r="C71" s="112">
        <v>282337351.80000001</v>
      </c>
      <c r="D71" s="112" t="s">
        <v>186</v>
      </c>
      <c r="E71" s="54"/>
      <c r="F71" s="47">
        <f>IF($C$66=0,"",IF(C71="[for completion]","",C71/$C$66))</f>
        <v>3.48880706042674E-2</v>
      </c>
      <c r="G71" s="47" t="str">
        <f t="shared" si="1"/>
        <v/>
      </c>
    </row>
    <row r="72" spans="1:7" ht="15" hidden="1" customHeight="1" outlineLevel="1" x14ac:dyDescent="0.3">
      <c r="A72" s="89" t="s">
        <v>471</v>
      </c>
      <c r="B72" s="64"/>
      <c r="C72" s="112"/>
      <c r="D72" s="112"/>
      <c r="E72" s="54"/>
      <c r="F72" s="47"/>
      <c r="G72" s="47" t="str">
        <f>IF($D$66=0,"",IF(D72="","",D72/$D$66))</f>
        <v/>
      </c>
    </row>
    <row r="73" spans="1:7" ht="15" hidden="1" customHeight="1" outlineLevel="1" x14ac:dyDescent="0.3">
      <c r="A73" s="89" t="s">
        <v>472</v>
      </c>
      <c r="B73" s="64"/>
      <c r="C73" s="112"/>
      <c r="D73" s="112"/>
      <c r="E73" s="54"/>
      <c r="F73" s="47"/>
      <c r="G73" s="47" t="str">
        <f>IF($D$66=0,"",IF(D73="","",D73/$D$66))</f>
        <v/>
      </c>
    </row>
    <row r="74" spans="1:7" ht="15" hidden="1" customHeight="1" outlineLevel="1" x14ac:dyDescent="0.3">
      <c r="A74" s="89" t="s">
        <v>473</v>
      </c>
      <c r="B74" s="64"/>
      <c r="C74" s="112"/>
      <c r="D74" s="112"/>
      <c r="E74" s="54"/>
      <c r="F74" s="47"/>
      <c r="G74" s="47" t="str">
        <f>IF($D$66=0,"",IF(D74="","",D74/$D$66))</f>
        <v/>
      </c>
    </row>
    <row r="75" spans="1:7" ht="15" hidden="1" customHeight="1" outlineLevel="1" x14ac:dyDescent="0.3">
      <c r="A75" s="89" t="s">
        <v>474</v>
      </c>
      <c r="B75" s="8"/>
      <c r="C75" s="112"/>
      <c r="D75" s="112"/>
      <c r="E75" s="54"/>
      <c r="F75" s="47">
        <f>IF($C$66=0,"",IF(C75="[for completion]","",C75/$C$66))</f>
        <v>0</v>
      </c>
      <c r="G75" s="47" t="str">
        <f>IF($D$66=0,"",IF(D75="","",D75/$D$66))</f>
        <v/>
      </c>
    </row>
    <row r="76" spans="1:7" ht="15" hidden="1" customHeight="1" outlineLevel="1" x14ac:dyDescent="0.3">
      <c r="A76" s="89" t="s">
        <v>475</v>
      </c>
      <c r="B76" s="64"/>
      <c r="C76" s="112"/>
      <c r="D76" s="112"/>
      <c r="E76" s="54"/>
      <c r="F76" s="47">
        <f>IF($C$66=0,"",IF(C76="[for completion]","",C76/$C$66))</f>
        <v>0</v>
      </c>
      <c r="G76" s="47" t="str">
        <f>IF($D$66=0,"",IF(D76="","",D76/$D$66))</f>
        <v/>
      </c>
    </row>
    <row r="77" spans="1:7" ht="15" customHeight="1" collapsed="1" x14ac:dyDescent="0.3">
      <c r="A77" s="58"/>
      <c r="B77" s="60" t="s">
        <v>597</v>
      </c>
      <c r="C77" s="58" t="s">
        <v>1168</v>
      </c>
      <c r="D77" s="58" t="s">
        <v>1169</v>
      </c>
      <c r="E77" s="46"/>
      <c r="F77" s="59" t="s">
        <v>938</v>
      </c>
      <c r="G77" s="58" t="s">
        <v>933</v>
      </c>
    </row>
    <row r="78" spans="1:7" ht="15" customHeight="1" x14ac:dyDescent="0.3">
      <c r="A78" s="89" t="s">
        <v>476</v>
      </c>
      <c r="B78" s="54" t="s">
        <v>81</v>
      </c>
      <c r="C78" s="118">
        <v>3.78</v>
      </c>
      <c r="D78" s="118">
        <f>C78+1</f>
        <v>4.7799999999999994</v>
      </c>
      <c r="E78" s="45"/>
      <c r="F78" s="47"/>
      <c r="G78" s="47"/>
    </row>
    <row r="79" spans="1:7" ht="15" customHeight="1" x14ac:dyDescent="0.3">
      <c r="B79" s="54"/>
      <c r="C79" s="112"/>
      <c r="D79" s="112"/>
      <c r="E79" s="45"/>
      <c r="F79" s="47"/>
      <c r="G79" s="47"/>
    </row>
    <row r="80" spans="1:7" ht="15" customHeight="1" x14ac:dyDescent="0.3">
      <c r="A80" s="89"/>
      <c r="B80" s="85" t="s">
        <v>1167</v>
      </c>
      <c r="C80" s="112"/>
      <c r="D80" s="112"/>
      <c r="E80" s="45"/>
      <c r="F80" s="47"/>
      <c r="G80" s="47"/>
    </row>
    <row r="81" spans="1:7" ht="15" customHeight="1" x14ac:dyDescent="0.3">
      <c r="A81" s="89" t="s">
        <v>477</v>
      </c>
      <c r="B81" s="54" t="s">
        <v>78</v>
      </c>
      <c r="C81" s="112"/>
      <c r="D81" s="112"/>
      <c r="E81" s="45"/>
      <c r="F81" s="47"/>
      <c r="G81" s="47"/>
    </row>
    <row r="82" spans="1:7" ht="15" customHeight="1" x14ac:dyDescent="0.3">
      <c r="A82" s="89" t="s">
        <v>478</v>
      </c>
      <c r="B82" s="7" t="s">
        <v>11</v>
      </c>
      <c r="C82" s="112">
        <v>275409250</v>
      </c>
      <c r="D82" s="112">
        <v>0</v>
      </c>
      <c r="E82" s="7"/>
      <c r="F82" s="47">
        <f t="shared" ref="F82:F88" si="2">IF($C$89=0,"",IF(C82="[for completion]","",C82/$C$89))</f>
        <v>4.8128881824817581E-2</v>
      </c>
      <c r="G82" s="47">
        <f t="shared" ref="G82:G88" si="3">IF($D$89=0,"",IF(D82="[Mark as ND1 if not relevant]","",D82/$D$89))</f>
        <v>0</v>
      </c>
    </row>
    <row r="83" spans="1:7" ht="15" customHeight="1" x14ac:dyDescent="0.3">
      <c r="A83" s="89" t="s">
        <v>479</v>
      </c>
      <c r="B83" s="7" t="s">
        <v>5</v>
      </c>
      <c r="C83" s="112">
        <v>983274000</v>
      </c>
      <c r="D83" s="112">
        <v>275409250</v>
      </c>
      <c r="E83" s="7"/>
      <c r="F83" s="47">
        <f t="shared" si="2"/>
        <v>0.17183111368777804</v>
      </c>
      <c r="G83" s="47">
        <f t="shared" si="3"/>
        <v>4.8128881824817581E-2</v>
      </c>
    </row>
    <row r="84" spans="1:7" ht="15" customHeight="1" x14ac:dyDescent="0.3">
      <c r="A84" s="89" t="s">
        <v>480</v>
      </c>
      <c r="B84" s="7" t="s">
        <v>6</v>
      </c>
      <c r="C84" s="112">
        <v>1610183000</v>
      </c>
      <c r="D84" s="112">
        <v>983274000</v>
      </c>
      <c r="E84" s="7"/>
      <c r="F84" s="47">
        <f t="shared" si="2"/>
        <v>0.28138600037337252</v>
      </c>
      <c r="G84" s="47">
        <f t="shared" si="3"/>
        <v>0.17183111368777804</v>
      </c>
    </row>
    <row r="85" spans="1:7" ht="15" customHeight="1" x14ac:dyDescent="0.3">
      <c r="A85" s="89" t="s">
        <v>481</v>
      </c>
      <c r="B85" s="7" t="s">
        <v>7</v>
      </c>
      <c r="C85" s="112">
        <v>770455000</v>
      </c>
      <c r="D85" s="112">
        <v>1610183000</v>
      </c>
      <c r="E85" s="7"/>
      <c r="F85" s="47">
        <f t="shared" si="2"/>
        <v>0.13464013153639476</v>
      </c>
      <c r="G85" s="47">
        <f t="shared" si="3"/>
        <v>0.28138600037337252</v>
      </c>
    </row>
    <row r="86" spans="1:7" ht="15" customHeight="1" x14ac:dyDescent="0.3">
      <c r="A86" s="89" t="s">
        <v>482</v>
      </c>
      <c r="B86" s="7" t="s">
        <v>8</v>
      </c>
      <c r="C86" s="112">
        <v>1086182000</v>
      </c>
      <c r="D86" s="112">
        <v>770455000</v>
      </c>
      <c r="E86" s="7"/>
      <c r="F86" s="47">
        <f t="shared" si="2"/>
        <v>0.18981470345765078</v>
      </c>
      <c r="G86" s="47">
        <f t="shared" si="3"/>
        <v>0.13464013153639476</v>
      </c>
    </row>
    <row r="87" spans="1:7" ht="15" customHeight="1" x14ac:dyDescent="0.3">
      <c r="A87" s="89" t="s">
        <v>483</v>
      </c>
      <c r="B87" s="7" t="s">
        <v>9</v>
      </c>
      <c r="C87" s="112">
        <v>811533490</v>
      </c>
      <c r="D87" s="112">
        <v>1897715490</v>
      </c>
      <c r="E87" s="7"/>
      <c r="F87" s="47">
        <f t="shared" si="2"/>
        <v>0.14181876402877455</v>
      </c>
      <c r="G87" s="47">
        <f t="shared" si="3"/>
        <v>0.33163346748642536</v>
      </c>
    </row>
    <row r="88" spans="1:7" ht="15" customHeight="1" x14ac:dyDescent="0.3">
      <c r="A88" s="89" t="s">
        <v>484</v>
      </c>
      <c r="B88" s="7" t="s">
        <v>10</v>
      </c>
      <c r="C88" s="112">
        <v>185291300</v>
      </c>
      <c r="D88" s="112">
        <v>185291300</v>
      </c>
      <c r="E88" s="7"/>
      <c r="F88" s="47">
        <f t="shared" si="2"/>
        <v>3.2380405091211796E-2</v>
      </c>
      <c r="G88" s="47">
        <f t="shared" si="3"/>
        <v>3.2380405091211796E-2</v>
      </c>
    </row>
    <row r="89" spans="1:7" ht="15" customHeight="1" x14ac:dyDescent="0.3">
      <c r="A89" s="89" t="s">
        <v>485</v>
      </c>
      <c r="B89" s="8" t="s">
        <v>1</v>
      </c>
      <c r="C89" s="112">
        <f>SUM(C82:C88)</f>
        <v>5722328040</v>
      </c>
      <c r="D89" s="112">
        <f>SUM(D82:D88)</f>
        <v>5722328040</v>
      </c>
      <c r="E89" s="54"/>
      <c r="F89" s="47">
        <f>SUM(F82:F88)</f>
        <v>1.0000000000000002</v>
      </c>
      <c r="G89" s="47">
        <f>SUM(G82:G88)</f>
        <v>1</v>
      </c>
    </row>
    <row r="90" spans="1:7" ht="15" customHeight="1" outlineLevel="1" x14ac:dyDescent="0.3">
      <c r="A90" s="89" t="s">
        <v>486</v>
      </c>
      <c r="B90" s="64" t="s">
        <v>40</v>
      </c>
      <c r="C90" s="112">
        <v>0</v>
      </c>
      <c r="D90" s="112">
        <v>0</v>
      </c>
      <c r="E90" s="54"/>
      <c r="F90" s="47">
        <f>IF($C$89=0,"",IF(C90="[for completion]","",C90/$C$89))</f>
        <v>0</v>
      </c>
      <c r="G90" s="47">
        <f>IF($D$89=0,"",IF(D90="[for completion]","",D90/$D$89))</f>
        <v>0</v>
      </c>
    </row>
    <row r="91" spans="1:7" ht="15" customHeight="1" outlineLevel="1" x14ac:dyDescent="0.3">
      <c r="A91" s="89" t="s">
        <v>487</v>
      </c>
      <c r="B91" s="64" t="s">
        <v>41</v>
      </c>
      <c r="C91" s="112">
        <v>75409250</v>
      </c>
      <c r="D91" s="112">
        <v>0</v>
      </c>
      <c r="E91" s="54"/>
      <c r="F91" s="47">
        <f>IF($C$89=0,"",IF(C91="[for completion]","",C91/$C$89))</f>
        <v>1.3178071839446659E-2</v>
      </c>
      <c r="G91" s="47">
        <f>IF($D$89=0,"",IF(D91="[for completion]","",D91/$D$89))</f>
        <v>0</v>
      </c>
    </row>
    <row r="92" spans="1:7" ht="15" customHeight="1" outlineLevel="1" x14ac:dyDescent="0.3">
      <c r="A92" s="89" t="s">
        <v>488</v>
      </c>
      <c r="B92" s="64" t="s">
        <v>42</v>
      </c>
      <c r="C92" s="112">
        <v>200000000</v>
      </c>
      <c r="D92" s="112">
        <v>0</v>
      </c>
      <c r="E92" s="54"/>
      <c r="F92" s="47">
        <f>IF($C$89=0,"",IF(C92="[for completion]","",C92/$C$89))</f>
        <v>3.4950809985370916E-2</v>
      </c>
      <c r="G92" s="47">
        <f>IF($D$89=0,"",IF(D92="[for completion]","",D92/$D$89))</f>
        <v>0</v>
      </c>
    </row>
    <row r="93" spans="1:7" ht="15" customHeight="1" outlineLevel="1" x14ac:dyDescent="0.3">
      <c r="A93" s="89" t="s">
        <v>489</v>
      </c>
      <c r="B93" s="64" t="s">
        <v>44</v>
      </c>
      <c r="C93" s="112">
        <v>301637000</v>
      </c>
      <c r="D93" s="112">
        <v>75409250</v>
      </c>
      <c r="E93" s="54"/>
      <c r="F93" s="47">
        <f>IF($C$89=0,"",IF(C93="[for completion]","",C93/$C$89))</f>
        <v>5.2712287357786637E-2</v>
      </c>
      <c r="G93" s="47">
        <f>IF($D$89=0,"",IF(D93="[for completion]","",D93/$D$89))</f>
        <v>1.3178071839446659E-2</v>
      </c>
    </row>
    <row r="94" spans="1:7" ht="15" customHeight="1" outlineLevel="1" x14ac:dyDescent="0.3">
      <c r="A94" s="89" t="s">
        <v>490</v>
      </c>
      <c r="B94" s="64" t="s">
        <v>45</v>
      </c>
      <c r="C94" s="112">
        <v>681637000</v>
      </c>
      <c r="D94" s="112">
        <v>200000000</v>
      </c>
      <c r="E94" s="54"/>
      <c r="F94" s="47">
        <f>IF($C$89=0,"",IF(C94="[for completion]","",C94/$C$89))</f>
        <v>0.11911882632999139</v>
      </c>
      <c r="G94" s="47">
        <f>IF($D$89=0,"",IF(D94="[for completion]","",D94/$D$89))</f>
        <v>3.4950809985370916E-2</v>
      </c>
    </row>
    <row r="95" spans="1:7" ht="15" hidden="1" customHeight="1" outlineLevel="1" x14ac:dyDescent="0.3">
      <c r="A95" s="89" t="s">
        <v>491</v>
      </c>
      <c r="B95" s="64"/>
      <c r="C95" s="112"/>
      <c r="D95" s="112"/>
      <c r="E95" s="54"/>
      <c r="F95" s="47"/>
      <c r="G95" s="47"/>
    </row>
    <row r="96" spans="1:7" ht="15" hidden="1" customHeight="1" outlineLevel="1" x14ac:dyDescent="0.3">
      <c r="A96" s="89" t="s">
        <v>492</v>
      </c>
      <c r="B96" s="64"/>
      <c r="C96" s="112"/>
      <c r="D96" s="112"/>
      <c r="E96" s="54"/>
      <c r="F96" s="47"/>
      <c r="G96" s="47"/>
    </row>
    <row r="97" spans="1:8" ht="15" hidden="1" customHeight="1" outlineLevel="1" x14ac:dyDescent="0.3">
      <c r="A97" s="89" t="s">
        <v>493</v>
      </c>
      <c r="B97" s="8"/>
      <c r="C97" s="112"/>
      <c r="D97" s="112"/>
      <c r="E97" s="54"/>
      <c r="F97" s="47">
        <f>IF($C$89=0,"",IF(C97="[for completion]","",C97/$C$89))</f>
        <v>0</v>
      </c>
      <c r="G97" s="47">
        <f>IF($D$89=0,"",IF(D97="[for completion]","",D97/$D$89))</f>
        <v>0</v>
      </c>
    </row>
    <row r="98" spans="1:8" ht="15" hidden="1" customHeight="1" outlineLevel="1" x14ac:dyDescent="0.3">
      <c r="A98" s="89" t="s">
        <v>494</v>
      </c>
      <c r="B98" s="64"/>
      <c r="C98" s="112"/>
      <c r="D98" s="112"/>
      <c r="E98" s="54"/>
      <c r="F98" s="47">
        <f>IF($C$89=0,"",IF(C98="[for completion]","",C98/$C$89))</f>
        <v>0</v>
      </c>
      <c r="G98" s="47">
        <f>IF($D$89=0,"",IF(D98="[for completion]","",D98/$D$89))</f>
        <v>0</v>
      </c>
    </row>
    <row r="99" spans="1:8" ht="15" hidden="1" customHeight="1" outlineLevel="1" x14ac:dyDescent="0.3">
      <c r="A99" s="89" t="s">
        <v>495</v>
      </c>
      <c r="B99" s="64"/>
      <c r="C99" s="112"/>
      <c r="D99" s="112"/>
      <c r="E99" s="54"/>
      <c r="F99" s="47">
        <f>IF($C$89=0,"",IF(C99="[for completion]","",C99/$C$89))</f>
        <v>0</v>
      </c>
      <c r="G99" s="47">
        <f>IF($D$89=0,"",IF(D99="[for completion]","",D99/$D$89))</f>
        <v>0</v>
      </c>
    </row>
    <row r="100" spans="1:8" ht="15" customHeight="1" collapsed="1" x14ac:dyDescent="0.3">
      <c r="A100" s="58"/>
      <c r="B100" s="60" t="s">
        <v>598</v>
      </c>
      <c r="C100" s="59" t="s">
        <v>83</v>
      </c>
      <c r="D100" s="59" t="s">
        <v>84</v>
      </c>
      <c r="E100" s="46"/>
      <c r="F100" s="59" t="s">
        <v>85</v>
      </c>
      <c r="G100" s="59" t="s">
        <v>86</v>
      </c>
    </row>
    <row r="101" spans="1:8" s="1" customFormat="1" ht="15" customHeight="1" x14ac:dyDescent="0.3">
      <c r="A101" s="89" t="s">
        <v>496</v>
      </c>
      <c r="B101" s="54" t="s">
        <v>55</v>
      </c>
      <c r="C101" s="112">
        <v>2772275527.79</v>
      </c>
      <c r="D101" s="112">
        <f>C101 - 0</f>
        <v>2772275527.79</v>
      </c>
      <c r="E101" s="47"/>
      <c r="F101" s="47">
        <f>IF($C$116=0,"",IF(C101="[for completion]","",C101/$C$116))</f>
        <v>0.34256659181267363</v>
      </c>
      <c r="G101" s="47">
        <f t="shared" ref="G101:G115" si="4">IF($D$116=0,"",IF(D101="ND1","",D101/$D$116))</f>
        <v>0.34256659181267363</v>
      </c>
      <c r="H101" s="52"/>
    </row>
    <row r="102" spans="1:8" s="1" customFormat="1" ht="15" customHeight="1" x14ac:dyDescent="0.3">
      <c r="A102" s="89" t="s">
        <v>497</v>
      </c>
      <c r="B102" s="54" t="s">
        <v>22</v>
      </c>
      <c r="C102" s="112">
        <v>53467796.960000008</v>
      </c>
      <c r="D102" s="112">
        <f>C102 - 0</f>
        <v>53467796.960000008</v>
      </c>
      <c r="E102" s="47"/>
      <c r="F102" s="47">
        <f>IF($C$116=0,"",IF(C102="[for completion]","",C102/$C$116))</f>
        <v>6.6069482606299921E-3</v>
      </c>
      <c r="G102" s="47">
        <f t="shared" si="4"/>
        <v>6.6069482606299921E-3</v>
      </c>
      <c r="H102" s="52"/>
    </row>
    <row r="103" spans="1:8" s="1" customFormat="1" ht="15" customHeight="1" x14ac:dyDescent="0.3">
      <c r="A103" s="89" t="s">
        <v>498</v>
      </c>
      <c r="B103" s="54" t="s">
        <v>969</v>
      </c>
      <c r="C103" s="112">
        <v>5266918347.6000261</v>
      </c>
      <c r="D103" s="112">
        <f>C103 - 0</f>
        <v>5266918347.6000261</v>
      </c>
      <c r="E103" s="47"/>
      <c r="F103" s="47">
        <f>IF($C$116=0,"",IF(C103="[for completion]","",C103/$C$116))</f>
        <v>0.65082645992669641</v>
      </c>
      <c r="G103" s="47">
        <f t="shared" si="4"/>
        <v>0.65082645992669641</v>
      </c>
      <c r="H103" s="52"/>
    </row>
    <row r="104" spans="1:8" s="1" customFormat="1" ht="15" customHeight="1" x14ac:dyDescent="0.3">
      <c r="A104" s="89" t="s">
        <v>499</v>
      </c>
      <c r="B104" s="85" t="s">
        <v>932</v>
      </c>
      <c r="C104" s="112" t="s">
        <v>186</v>
      </c>
      <c r="D104" s="112" t="s">
        <v>186</v>
      </c>
      <c r="E104" s="47"/>
      <c r="F104" s="47" t="str">
        <f t="shared" ref="F104:F115" si="5">IF($C$116=0,"",IF(C104="ND1","",C104/$C$116))</f>
        <v/>
      </c>
      <c r="G104" s="47" t="str">
        <f t="shared" si="4"/>
        <v/>
      </c>
      <c r="H104" s="52"/>
    </row>
    <row r="105" spans="1:8" s="1" customFormat="1" ht="15" customHeight="1" x14ac:dyDescent="0.3">
      <c r="A105" s="89" t="s">
        <v>500</v>
      </c>
      <c r="B105" s="54" t="s">
        <v>23</v>
      </c>
      <c r="C105" s="112" t="s">
        <v>186</v>
      </c>
      <c r="D105" s="112" t="s">
        <v>186</v>
      </c>
      <c r="E105" s="47"/>
      <c r="F105" s="47" t="str">
        <f t="shared" si="5"/>
        <v/>
      </c>
      <c r="G105" s="47" t="str">
        <f t="shared" si="4"/>
        <v/>
      </c>
      <c r="H105" s="52"/>
    </row>
    <row r="106" spans="1:8" s="1" customFormat="1" ht="15" customHeight="1" x14ac:dyDescent="0.3">
      <c r="A106" s="89" t="s">
        <v>501</v>
      </c>
      <c r="B106" s="54" t="s">
        <v>24</v>
      </c>
      <c r="C106" s="112" t="s">
        <v>186</v>
      </c>
      <c r="D106" s="112" t="s">
        <v>186</v>
      </c>
      <c r="E106" s="54"/>
      <c r="F106" s="47" t="str">
        <f t="shared" si="5"/>
        <v/>
      </c>
      <c r="G106" s="47" t="str">
        <f t="shared" si="4"/>
        <v/>
      </c>
      <c r="H106" s="52"/>
    </row>
    <row r="107" spans="1:8" ht="15" customHeight="1" x14ac:dyDescent="0.3">
      <c r="A107" s="89" t="s">
        <v>502</v>
      </c>
      <c r="B107" s="54" t="s">
        <v>25</v>
      </c>
      <c r="C107" s="112" t="s">
        <v>186</v>
      </c>
      <c r="D107" s="112" t="s">
        <v>186</v>
      </c>
      <c r="E107" s="54"/>
      <c r="F107" s="47" t="str">
        <f t="shared" si="5"/>
        <v/>
      </c>
      <c r="G107" s="47" t="str">
        <f t="shared" si="4"/>
        <v/>
      </c>
    </row>
    <row r="108" spans="1:8" ht="15" customHeight="1" x14ac:dyDescent="0.3">
      <c r="A108" s="89" t="s">
        <v>503</v>
      </c>
      <c r="B108" s="54" t="s">
        <v>136</v>
      </c>
      <c r="C108" s="112" t="s">
        <v>186</v>
      </c>
      <c r="D108" s="112" t="s">
        <v>186</v>
      </c>
      <c r="E108" s="54"/>
      <c r="F108" s="47" t="str">
        <f t="shared" si="5"/>
        <v/>
      </c>
      <c r="G108" s="47" t="str">
        <f t="shared" si="4"/>
        <v/>
      </c>
    </row>
    <row r="109" spans="1:8" ht="15" customHeight="1" x14ac:dyDescent="0.3">
      <c r="A109" s="89" t="s">
        <v>504</v>
      </c>
      <c r="B109" s="54" t="s">
        <v>79</v>
      </c>
      <c r="C109" s="112" t="s">
        <v>186</v>
      </c>
      <c r="D109" s="112" t="s">
        <v>186</v>
      </c>
      <c r="E109" s="54"/>
      <c r="F109" s="47" t="str">
        <f t="shared" si="5"/>
        <v/>
      </c>
      <c r="G109" s="47" t="str">
        <f t="shared" si="4"/>
        <v/>
      </c>
    </row>
    <row r="110" spans="1:8" ht="15" customHeight="1" x14ac:dyDescent="0.3">
      <c r="A110" s="89" t="s">
        <v>505</v>
      </c>
      <c r="B110" s="54" t="s">
        <v>76</v>
      </c>
      <c r="C110" s="112" t="s">
        <v>186</v>
      </c>
      <c r="D110" s="112" t="s">
        <v>186</v>
      </c>
      <c r="E110" s="54"/>
      <c r="F110" s="47" t="str">
        <f t="shared" si="5"/>
        <v/>
      </c>
      <c r="G110" s="47" t="str">
        <f t="shared" si="4"/>
        <v/>
      </c>
    </row>
    <row r="111" spans="1:8" ht="15" customHeight="1" x14ac:dyDescent="0.3">
      <c r="A111" s="89" t="s">
        <v>506</v>
      </c>
      <c r="B111" s="54" t="s">
        <v>80</v>
      </c>
      <c r="C111" s="112" t="s">
        <v>186</v>
      </c>
      <c r="D111" s="112" t="s">
        <v>186</v>
      </c>
      <c r="E111" s="54"/>
      <c r="F111" s="47" t="str">
        <f t="shared" si="5"/>
        <v/>
      </c>
      <c r="G111" s="47" t="str">
        <f t="shared" si="4"/>
        <v/>
      </c>
    </row>
    <row r="112" spans="1:8" ht="15" customHeight="1" x14ac:dyDescent="0.3">
      <c r="A112" s="89" t="s">
        <v>507</v>
      </c>
      <c r="B112" s="54" t="s">
        <v>135</v>
      </c>
      <c r="C112" s="112" t="s">
        <v>186</v>
      </c>
      <c r="D112" s="112" t="s">
        <v>186</v>
      </c>
      <c r="E112" s="54"/>
      <c r="F112" s="47" t="str">
        <f t="shared" si="5"/>
        <v/>
      </c>
      <c r="G112" s="47" t="str">
        <f t="shared" si="4"/>
        <v/>
      </c>
    </row>
    <row r="113" spans="1:8" ht="15" customHeight="1" x14ac:dyDescent="0.3">
      <c r="A113" s="89" t="s">
        <v>508</v>
      </c>
      <c r="B113" s="54" t="s">
        <v>39</v>
      </c>
      <c r="C113" s="112" t="s">
        <v>186</v>
      </c>
      <c r="D113" s="112" t="s">
        <v>186</v>
      </c>
      <c r="E113" s="54"/>
      <c r="F113" s="47" t="str">
        <f t="shared" si="5"/>
        <v/>
      </c>
      <c r="G113" s="47" t="str">
        <f t="shared" si="4"/>
        <v/>
      </c>
    </row>
    <row r="114" spans="1:8" ht="15" customHeight="1" x14ac:dyDescent="0.3">
      <c r="A114" s="89" t="s">
        <v>509</v>
      </c>
      <c r="B114" s="54" t="s">
        <v>77</v>
      </c>
      <c r="C114" s="112" t="s">
        <v>186</v>
      </c>
      <c r="D114" s="112" t="s">
        <v>186</v>
      </c>
      <c r="E114" s="54"/>
      <c r="F114" s="47" t="str">
        <f t="shared" si="5"/>
        <v/>
      </c>
      <c r="G114" s="47" t="str">
        <f t="shared" si="4"/>
        <v/>
      </c>
    </row>
    <row r="115" spans="1:8" ht="15" customHeight="1" x14ac:dyDescent="0.3">
      <c r="A115" s="89" t="s">
        <v>510</v>
      </c>
      <c r="B115" s="54" t="s">
        <v>2</v>
      </c>
      <c r="C115" s="112" t="s">
        <v>186</v>
      </c>
      <c r="D115" s="112" t="s">
        <v>186</v>
      </c>
      <c r="E115" s="54"/>
      <c r="F115" s="47" t="str">
        <f t="shared" si="5"/>
        <v/>
      </c>
      <c r="G115" s="47" t="str">
        <f t="shared" si="4"/>
        <v/>
      </c>
    </row>
    <row r="116" spans="1:8" ht="15" customHeight="1" x14ac:dyDescent="0.3">
      <c r="A116" s="89" t="s">
        <v>511</v>
      </c>
      <c r="B116" s="8" t="s">
        <v>1</v>
      </c>
      <c r="C116" s="112">
        <f>SUM(C101:C115)</f>
        <v>8092661672.3500261</v>
      </c>
      <c r="D116" s="112">
        <f>SUM(D101:D115)</f>
        <v>8092661672.3500261</v>
      </c>
      <c r="E116" s="54"/>
      <c r="F116" s="47">
        <f>SUM(F101:F115)</f>
        <v>1</v>
      </c>
      <c r="G116" s="47">
        <f>SUM(G101:G115)</f>
        <v>1</v>
      </c>
    </row>
    <row r="117" spans="1:8" ht="15" hidden="1" customHeight="1" outlineLevel="1" x14ac:dyDescent="0.3">
      <c r="A117" s="89" t="s">
        <v>975</v>
      </c>
      <c r="B117" s="66" t="s">
        <v>155</v>
      </c>
      <c r="C117" s="112"/>
      <c r="D117" s="112"/>
      <c r="E117" s="85"/>
      <c r="F117" s="47" t="str">
        <f t="shared" ref="F117:F125" si="6">IF($C$116=0,"",IF(C117="","",C117/$C$116))</f>
        <v/>
      </c>
      <c r="G117" s="47" t="str">
        <f t="shared" ref="G117:G125" si="7">IF($D$116=0,"",IF(D117="","",D117/$D$116))</f>
        <v/>
      </c>
    </row>
    <row r="118" spans="1:8" ht="15" hidden="1" customHeight="1" outlineLevel="1" x14ac:dyDescent="0.3">
      <c r="A118" s="89" t="s">
        <v>976</v>
      </c>
      <c r="B118" s="66" t="s">
        <v>155</v>
      </c>
      <c r="C118" s="112"/>
      <c r="D118" s="112"/>
      <c r="E118" s="85"/>
      <c r="F118" s="47" t="str">
        <f t="shared" si="6"/>
        <v/>
      </c>
      <c r="G118" s="47" t="str">
        <f t="shared" si="7"/>
        <v/>
      </c>
    </row>
    <row r="119" spans="1:8" ht="15" hidden="1" customHeight="1" outlineLevel="1" x14ac:dyDescent="0.3">
      <c r="A119" s="89" t="s">
        <v>977</v>
      </c>
      <c r="B119" s="66" t="s">
        <v>155</v>
      </c>
      <c r="C119" s="112"/>
      <c r="D119" s="112"/>
      <c r="E119" s="85"/>
      <c r="F119" s="47" t="str">
        <f t="shared" si="6"/>
        <v/>
      </c>
      <c r="G119" s="47" t="str">
        <f t="shared" si="7"/>
        <v/>
      </c>
    </row>
    <row r="120" spans="1:8" ht="15" hidden="1" customHeight="1" outlineLevel="1" x14ac:dyDescent="0.3">
      <c r="A120" s="89" t="s">
        <v>978</v>
      </c>
      <c r="B120" s="66" t="s">
        <v>155</v>
      </c>
      <c r="C120" s="112"/>
      <c r="D120" s="112"/>
      <c r="E120" s="85"/>
      <c r="F120" s="47" t="str">
        <f t="shared" si="6"/>
        <v/>
      </c>
      <c r="G120" s="47" t="str">
        <f t="shared" si="7"/>
        <v/>
      </c>
    </row>
    <row r="121" spans="1:8" ht="15" hidden="1" customHeight="1" outlineLevel="1" x14ac:dyDescent="0.3">
      <c r="A121" s="89" t="s">
        <v>979</v>
      </c>
      <c r="B121" s="66" t="s">
        <v>155</v>
      </c>
      <c r="C121" s="112"/>
      <c r="D121" s="112"/>
      <c r="E121" s="85"/>
      <c r="F121" s="47" t="str">
        <f t="shared" si="6"/>
        <v/>
      </c>
      <c r="G121" s="47" t="str">
        <f t="shared" si="7"/>
        <v/>
      </c>
    </row>
    <row r="122" spans="1:8" ht="15" hidden="1" customHeight="1" outlineLevel="1" x14ac:dyDescent="0.3">
      <c r="A122" s="89" t="s">
        <v>980</v>
      </c>
      <c r="B122" s="66" t="s">
        <v>155</v>
      </c>
      <c r="C122" s="112"/>
      <c r="D122" s="112"/>
      <c r="E122" s="85"/>
      <c r="F122" s="47" t="str">
        <f t="shared" si="6"/>
        <v/>
      </c>
      <c r="G122" s="47" t="str">
        <f t="shared" si="7"/>
        <v/>
      </c>
    </row>
    <row r="123" spans="1:8" ht="15" hidden="1" customHeight="1" outlineLevel="1" x14ac:dyDescent="0.3">
      <c r="A123" s="89" t="s">
        <v>981</v>
      </c>
      <c r="B123" s="66" t="s">
        <v>155</v>
      </c>
      <c r="C123" s="112"/>
      <c r="D123" s="112"/>
      <c r="E123" s="85"/>
      <c r="F123" s="47" t="str">
        <f t="shared" si="6"/>
        <v/>
      </c>
      <c r="G123" s="47" t="str">
        <f t="shared" si="7"/>
        <v/>
      </c>
    </row>
    <row r="124" spans="1:8" ht="15" hidden="1" customHeight="1" outlineLevel="1" x14ac:dyDescent="0.3">
      <c r="A124" s="89" t="s">
        <v>982</v>
      </c>
      <c r="B124" s="66" t="s">
        <v>155</v>
      </c>
      <c r="C124" s="112"/>
      <c r="D124" s="112"/>
      <c r="E124" s="85"/>
      <c r="F124" s="47" t="str">
        <f t="shared" si="6"/>
        <v/>
      </c>
      <c r="G124" s="47" t="str">
        <f t="shared" si="7"/>
        <v/>
      </c>
    </row>
    <row r="125" spans="1:8" ht="15" hidden="1" customHeight="1" outlineLevel="1" x14ac:dyDescent="0.3">
      <c r="A125" s="89" t="s">
        <v>983</v>
      </c>
      <c r="B125" s="66" t="s">
        <v>155</v>
      </c>
      <c r="C125" s="112"/>
      <c r="D125" s="112"/>
      <c r="E125" s="51"/>
      <c r="F125" s="47" t="str">
        <f t="shared" si="6"/>
        <v/>
      </c>
      <c r="G125" s="47" t="str">
        <f t="shared" si="7"/>
        <v/>
      </c>
    </row>
    <row r="126" spans="1:8" ht="15" customHeight="1" collapsed="1" x14ac:dyDescent="0.3">
      <c r="A126" s="58"/>
      <c r="B126" s="60" t="s">
        <v>599</v>
      </c>
      <c r="C126" s="59" t="s">
        <v>83</v>
      </c>
      <c r="D126" s="59" t="s">
        <v>84</v>
      </c>
      <c r="E126" s="46"/>
      <c r="F126" s="59" t="s">
        <v>85</v>
      </c>
      <c r="G126" s="59" t="s">
        <v>86</v>
      </c>
    </row>
    <row r="127" spans="1:8" s="1" customFormat="1" ht="15" customHeight="1" x14ac:dyDescent="0.3">
      <c r="A127" s="89" t="s">
        <v>512</v>
      </c>
      <c r="B127" s="54" t="s">
        <v>55</v>
      </c>
      <c r="C127" s="112">
        <v>2087328040</v>
      </c>
      <c r="D127" s="112">
        <f>C127 - 0</f>
        <v>2087328040</v>
      </c>
      <c r="E127" s="47"/>
      <c r="F127" s="47">
        <f t="shared" ref="F127:F132" si="8">IF($C$142=0,"",IF(C127="ND1","",C127/$C$142))</f>
        <v>0.36476902851588355</v>
      </c>
      <c r="G127" s="47">
        <f t="shared" ref="G127:G141" si="9">IF($D$142=0,"",IF(D127="ND1","",D127/$D$142))</f>
        <v>0.36476902851588355</v>
      </c>
      <c r="H127" s="52"/>
    </row>
    <row r="128" spans="1:8" s="1" customFormat="1" ht="15" customHeight="1" x14ac:dyDescent="0.3">
      <c r="A128" s="89" t="s">
        <v>513</v>
      </c>
      <c r="B128" s="54" t="s">
        <v>22</v>
      </c>
      <c r="C128" s="112">
        <v>0</v>
      </c>
      <c r="D128" s="112">
        <f>C128 - 0</f>
        <v>0</v>
      </c>
      <c r="E128" s="47"/>
      <c r="F128" s="47">
        <f t="shared" si="8"/>
        <v>0</v>
      </c>
      <c r="G128" s="47">
        <f t="shared" si="9"/>
        <v>0</v>
      </c>
      <c r="H128" s="52"/>
    </row>
    <row r="129" spans="1:8" s="1" customFormat="1" ht="15" customHeight="1" x14ac:dyDescent="0.3">
      <c r="A129" s="89" t="s">
        <v>514</v>
      </c>
      <c r="B129" s="54" t="s">
        <v>969</v>
      </c>
      <c r="C129" s="112">
        <v>3635000000</v>
      </c>
      <c r="D129" s="112">
        <f>C129 - 0</f>
        <v>3635000000</v>
      </c>
      <c r="E129" s="47"/>
      <c r="F129" s="47">
        <f t="shared" si="8"/>
        <v>0.63523097148411645</v>
      </c>
      <c r="G129" s="47">
        <f t="shared" si="9"/>
        <v>0.63523097148411645</v>
      </c>
      <c r="H129" s="52"/>
    </row>
    <row r="130" spans="1:8" s="1" customFormat="1" ht="15" customHeight="1" x14ac:dyDescent="0.3">
      <c r="A130" s="89" t="s">
        <v>515</v>
      </c>
      <c r="B130" s="85" t="s">
        <v>932</v>
      </c>
      <c r="C130" s="112">
        <v>0</v>
      </c>
      <c r="D130" s="112">
        <v>0</v>
      </c>
      <c r="E130" s="47"/>
      <c r="F130" s="47">
        <f t="shared" si="8"/>
        <v>0</v>
      </c>
      <c r="G130" s="47">
        <f t="shared" si="9"/>
        <v>0</v>
      </c>
      <c r="H130" s="52"/>
    </row>
    <row r="131" spans="1:8" s="1" customFormat="1" ht="15" customHeight="1" x14ac:dyDescent="0.3">
      <c r="A131" s="89" t="s">
        <v>516</v>
      </c>
      <c r="B131" s="54" t="s">
        <v>23</v>
      </c>
      <c r="C131" s="112">
        <v>0</v>
      </c>
      <c r="D131" s="112">
        <v>0</v>
      </c>
      <c r="E131" s="47"/>
      <c r="F131" s="47">
        <f t="shared" si="8"/>
        <v>0</v>
      </c>
      <c r="G131" s="47">
        <f t="shared" si="9"/>
        <v>0</v>
      </c>
      <c r="H131" s="52"/>
    </row>
    <row r="132" spans="1:8" s="1" customFormat="1" ht="15" customHeight="1" x14ac:dyDescent="0.3">
      <c r="A132" s="89" t="s">
        <v>517</v>
      </c>
      <c r="B132" s="54" t="s">
        <v>24</v>
      </c>
      <c r="C132" s="112">
        <v>0</v>
      </c>
      <c r="D132" s="112">
        <v>0</v>
      </c>
      <c r="E132" s="54"/>
      <c r="F132" s="47">
        <f t="shared" si="8"/>
        <v>0</v>
      </c>
      <c r="G132" s="47">
        <f t="shared" si="9"/>
        <v>0</v>
      </c>
      <c r="H132" s="52"/>
    </row>
    <row r="133" spans="1:8" ht="15" customHeight="1" x14ac:dyDescent="0.3">
      <c r="A133" s="89" t="s">
        <v>518</v>
      </c>
      <c r="B133" s="54" t="s">
        <v>25</v>
      </c>
      <c r="C133" s="112">
        <v>0</v>
      </c>
      <c r="D133" s="112">
        <v>0</v>
      </c>
      <c r="E133" s="54"/>
      <c r="F133" s="47">
        <f>IF($C$142=0,"",IF(C133="0","",C133/$C$142))</f>
        <v>0</v>
      </c>
      <c r="G133" s="47">
        <f t="shared" si="9"/>
        <v>0</v>
      </c>
    </row>
    <row r="134" spans="1:8" ht="15" customHeight="1" x14ac:dyDescent="0.3">
      <c r="A134" s="89" t="s">
        <v>519</v>
      </c>
      <c r="B134" s="54" t="s">
        <v>136</v>
      </c>
      <c r="C134" s="112">
        <v>0</v>
      </c>
      <c r="D134" s="112">
        <v>0</v>
      </c>
      <c r="E134" s="54"/>
      <c r="F134" s="47">
        <f t="shared" ref="F134:F141" si="10">IF($C$142=0,"",IF(C134="ND1","",C134/$C$142))</f>
        <v>0</v>
      </c>
      <c r="G134" s="47">
        <f t="shared" si="9"/>
        <v>0</v>
      </c>
    </row>
    <row r="135" spans="1:8" ht="15" customHeight="1" x14ac:dyDescent="0.3">
      <c r="A135" s="89" t="s">
        <v>520</v>
      </c>
      <c r="B135" s="54" t="s">
        <v>79</v>
      </c>
      <c r="C135" s="112">
        <v>0</v>
      </c>
      <c r="D135" s="112">
        <v>0</v>
      </c>
      <c r="E135" s="54"/>
      <c r="F135" s="47">
        <f t="shared" si="10"/>
        <v>0</v>
      </c>
      <c r="G135" s="47">
        <f t="shared" si="9"/>
        <v>0</v>
      </c>
    </row>
    <row r="136" spans="1:8" ht="15" customHeight="1" x14ac:dyDescent="0.3">
      <c r="A136" s="89" t="s">
        <v>521</v>
      </c>
      <c r="B136" s="54" t="s">
        <v>76</v>
      </c>
      <c r="C136" s="112">
        <v>0</v>
      </c>
      <c r="D136" s="112">
        <v>0</v>
      </c>
      <c r="E136" s="54"/>
      <c r="F136" s="47">
        <f t="shared" si="10"/>
        <v>0</v>
      </c>
      <c r="G136" s="47">
        <f t="shared" si="9"/>
        <v>0</v>
      </c>
    </row>
    <row r="137" spans="1:8" ht="15" customHeight="1" x14ac:dyDescent="0.3">
      <c r="A137" s="89" t="s">
        <v>522</v>
      </c>
      <c r="B137" s="54" t="s">
        <v>80</v>
      </c>
      <c r="C137" s="112">
        <v>0</v>
      </c>
      <c r="D137" s="112">
        <v>0</v>
      </c>
      <c r="E137" s="54"/>
      <c r="F137" s="47">
        <f t="shared" si="10"/>
        <v>0</v>
      </c>
      <c r="G137" s="47">
        <f t="shared" si="9"/>
        <v>0</v>
      </c>
    </row>
    <row r="138" spans="1:8" ht="15" customHeight="1" x14ac:dyDescent="0.3">
      <c r="A138" s="89" t="s">
        <v>523</v>
      </c>
      <c r="B138" s="54" t="s">
        <v>135</v>
      </c>
      <c r="C138" s="112">
        <v>0</v>
      </c>
      <c r="D138" s="112">
        <v>0</v>
      </c>
      <c r="E138" s="54"/>
      <c r="F138" s="47">
        <f t="shared" si="10"/>
        <v>0</v>
      </c>
      <c r="G138" s="47">
        <f t="shared" si="9"/>
        <v>0</v>
      </c>
    </row>
    <row r="139" spans="1:8" ht="15" customHeight="1" x14ac:dyDescent="0.3">
      <c r="A139" s="89" t="s">
        <v>524</v>
      </c>
      <c r="B139" s="54" t="s">
        <v>39</v>
      </c>
      <c r="C139" s="112">
        <v>0</v>
      </c>
      <c r="D139" s="112">
        <v>0</v>
      </c>
      <c r="E139" s="54"/>
      <c r="F139" s="47">
        <f t="shared" si="10"/>
        <v>0</v>
      </c>
      <c r="G139" s="47">
        <f t="shared" si="9"/>
        <v>0</v>
      </c>
    </row>
    <row r="140" spans="1:8" ht="15" customHeight="1" x14ac:dyDescent="0.3">
      <c r="A140" s="89" t="s">
        <v>525</v>
      </c>
      <c r="B140" s="54" t="s">
        <v>77</v>
      </c>
      <c r="C140" s="112">
        <v>0</v>
      </c>
      <c r="D140" s="112">
        <v>0</v>
      </c>
      <c r="E140" s="54"/>
      <c r="F140" s="47">
        <f t="shared" si="10"/>
        <v>0</v>
      </c>
      <c r="G140" s="47">
        <f t="shared" si="9"/>
        <v>0</v>
      </c>
    </row>
    <row r="141" spans="1:8" ht="15" customHeight="1" x14ac:dyDescent="0.3">
      <c r="A141" s="89" t="s">
        <v>526</v>
      </c>
      <c r="B141" s="54" t="s">
        <v>2</v>
      </c>
      <c r="C141" s="112">
        <v>0</v>
      </c>
      <c r="D141" s="112">
        <v>0</v>
      </c>
      <c r="E141" s="54"/>
      <c r="F141" s="47">
        <f t="shared" si="10"/>
        <v>0</v>
      </c>
      <c r="G141" s="47">
        <f t="shared" si="9"/>
        <v>0</v>
      </c>
    </row>
    <row r="142" spans="1:8" ht="15" customHeight="1" x14ac:dyDescent="0.3">
      <c r="A142" s="89" t="s">
        <v>527</v>
      </c>
      <c r="B142" s="8" t="s">
        <v>1</v>
      </c>
      <c r="C142" s="112">
        <f>SUM(C127:C141)</f>
        <v>5722328040</v>
      </c>
      <c r="D142" s="112">
        <f>SUM(D127:D141)</f>
        <v>5722328040</v>
      </c>
      <c r="E142" s="54"/>
      <c r="F142" s="47">
        <f>SUM(F127:F141)</f>
        <v>1</v>
      </c>
      <c r="G142" s="47">
        <f>SUM(G127:G141)</f>
        <v>1</v>
      </c>
    </row>
    <row r="143" spans="1:8" ht="15" customHeight="1" x14ac:dyDescent="0.3">
      <c r="A143" s="58"/>
      <c r="B143" s="60" t="s">
        <v>600</v>
      </c>
      <c r="C143" s="58" t="s">
        <v>82</v>
      </c>
      <c r="D143" s="58"/>
      <c r="E143" s="46"/>
      <c r="F143" s="59" t="s">
        <v>56</v>
      </c>
      <c r="G143" s="59"/>
    </row>
    <row r="144" spans="1:8" ht="15" customHeight="1" x14ac:dyDescent="0.3">
      <c r="A144" s="89" t="s">
        <v>528</v>
      </c>
      <c r="B144" s="52" t="s">
        <v>16</v>
      </c>
      <c r="C144" s="112">
        <v>998461790</v>
      </c>
      <c r="D144" s="112"/>
      <c r="E144" s="9"/>
      <c r="F144" s="47">
        <f>IF($C$147=0,"",IF(C144="[for completion]","",C144/$C$147))</f>
        <v>0.17448524149971661</v>
      </c>
      <c r="G144" s="47"/>
    </row>
    <row r="145" spans="1:7" ht="15" customHeight="1" x14ac:dyDescent="0.3">
      <c r="A145" s="89" t="s">
        <v>529</v>
      </c>
      <c r="B145" s="52" t="s">
        <v>17</v>
      </c>
      <c r="C145" s="112">
        <v>4723866250</v>
      </c>
      <c r="D145" s="112"/>
      <c r="E145" s="9"/>
      <c r="F145" s="47">
        <f>IF($C$147=0,"",IF(C145="[for completion]","",C145/$C$147))</f>
        <v>0.82551475850028344</v>
      </c>
      <c r="G145" s="47"/>
    </row>
    <row r="146" spans="1:7" ht="15" customHeight="1" x14ac:dyDescent="0.3">
      <c r="A146" s="89" t="s">
        <v>530</v>
      </c>
      <c r="B146" s="52" t="s">
        <v>2</v>
      </c>
      <c r="C146" s="112">
        <v>0</v>
      </c>
      <c r="D146" s="112"/>
      <c r="E146" s="9"/>
      <c r="F146" s="47">
        <f>IF($C$147=0,"",IF(C146="[for completion]","",C146/$C$147))</f>
        <v>0</v>
      </c>
      <c r="G146" s="47"/>
    </row>
    <row r="147" spans="1:7" ht="15" customHeight="1" x14ac:dyDescent="0.3">
      <c r="A147" s="89" t="s">
        <v>531</v>
      </c>
      <c r="B147" s="10" t="s">
        <v>1</v>
      </c>
      <c r="C147" s="112">
        <f>SUM(C144:C146)</f>
        <v>5722328040</v>
      </c>
      <c r="D147" s="112"/>
      <c r="E147" s="9"/>
      <c r="F147" s="47">
        <f>SUM(F144:F146)</f>
        <v>1</v>
      </c>
      <c r="G147" s="47"/>
    </row>
    <row r="148" spans="1:7" ht="15" hidden="1" customHeight="1" outlineLevel="1" x14ac:dyDescent="0.3">
      <c r="A148" s="89" t="s">
        <v>532</v>
      </c>
      <c r="B148" s="10"/>
      <c r="C148" s="112"/>
      <c r="D148" s="112"/>
      <c r="E148" s="9"/>
      <c r="F148" s="47"/>
      <c r="G148" s="47"/>
    </row>
    <row r="149" spans="1:7" ht="15" hidden="1" customHeight="1" outlineLevel="1" x14ac:dyDescent="0.3">
      <c r="A149" s="89" t="s">
        <v>533</v>
      </c>
      <c r="B149" s="10"/>
      <c r="C149" s="112"/>
      <c r="D149" s="112"/>
      <c r="E149" s="9"/>
      <c r="F149" s="47"/>
      <c r="G149" s="47"/>
    </row>
    <row r="150" spans="1:7" ht="15" hidden="1" customHeight="1" outlineLevel="1" x14ac:dyDescent="0.3">
      <c r="A150" s="89" t="s">
        <v>534</v>
      </c>
      <c r="B150" s="10"/>
      <c r="C150" s="112"/>
      <c r="D150" s="112"/>
      <c r="E150" s="9"/>
      <c r="F150" s="47"/>
      <c r="G150" s="47"/>
    </row>
    <row r="151" spans="1:7" ht="15" hidden="1" customHeight="1" outlineLevel="1" x14ac:dyDescent="0.3">
      <c r="A151" s="89" t="s">
        <v>535</v>
      </c>
      <c r="B151" s="10"/>
      <c r="C151" s="112"/>
      <c r="D151" s="112"/>
      <c r="E151" s="9"/>
      <c r="F151" s="47"/>
      <c r="G151" s="47"/>
    </row>
    <row r="152" spans="1:7" ht="15" hidden="1" customHeight="1" outlineLevel="1" x14ac:dyDescent="0.3">
      <c r="A152" s="89" t="s">
        <v>536</v>
      </c>
      <c r="B152" s="10"/>
      <c r="C152" s="112"/>
      <c r="D152" s="112"/>
      <c r="E152" s="9"/>
      <c r="F152" s="47"/>
      <c r="G152" s="47"/>
    </row>
    <row r="153" spans="1:7" ht="15" customHeight="1" collapsed="1" x14ac:dyDescent="0.3">
      <c r="A153" s="58"/>
      <c r="B153" s="60" t="s">
        <v>601</v>
      </c>
      <c r="C153" s="58" t="s">
        <v>82</v>
      </c>
      <c r="D153" s="58"/>
      <c r="E153" s="46"/>
      <c r="F153" s="59" t="s">
        <v>147</v>
      </c>
      <c r="G153" s="59"/>
    </row>
    <row r="154" spans="1:7" ht="15" customHeight="1" x14ac:dyDescent="0.3">
      <c r="A154" s="89" t="s">
        <v>537</v>
      </c>
      <c r="B154" s="85" t="s">
        <v>254</v>
      </c>
      <c r="C154" s="112">
        <v>0</v>
      </c>
      <c r="D154" s="112"/>
      <c r="E154" s="3"/>
      <c r="F154" s="47">
        <f>IF($C$159=0,"",IF(C154="[for completion]","",C154/$C$159))</f>
        <v>0</v>
      </c>
      <c r="G154" s="47"/>
    </row>
    <row r="155" spans="1:7" ht="15" customHeight="1" x14ac:dyDescent="0.3">
      <c r="A155" s="89" t="s">
        <v>538</v>
      </c>
      <c r="B155" s="85" t="s">
        <v>196</v>
      </c>
      <c r="C155" s="112">
        <v>72520915.930000007</v>
      </c>
      <c r="D155" s="112"/>
      <c r="E155" s="48"/>
      <c r="F155" s="47">
        <f>IF($C$159=0,"",IF(C155="[for completion]","",C155/$C$159))</f>
        <v>1</v>
      </c>
      <c r="G155" s="47"/>
    </row>
    <row r="156" spans="1:7" ht="15" customHeight="1" x14ac:dyDescent="0.3">
      <c r="A156" s="89" t="s">
        <v>539</v>
      </c>
      <c r="B156" s="54" t="s">
        <v>195</v>
      </c>
      <c r="C156" s="112">
        <v>0</v>
      </c>
      <c r="D156" s="112"/>
      <c r="E156" s="48"/>
      <c r="F156" s="47">
        <f>IF($C$159=0,"",IF(C156="[for completion]","",C156/$C$159))</f>
        <v>0</v>
      </c>
      <c r="G156" s="47"/>
    </row>
    <row r="157" spans="1:7" ht="15" customHeight="1" x14ac:dyDescent="0.3">
      <c r="A157" s="89" t="s">
        <v>540</v>
      </c>
      <c r="B157" s="54" t="s">
        <v>132</v>
      </c>
      <c r="C157" s="112">
        <v>0</v>
      </c>
      <c r="D157" s="112"/>
      <c r="E157" s="48"/>
      <c r="F157" s="47">
        <f>IF($C$159=0,"",IF(C157="[for completion]","",C157/$C$159))</f>
        <v>0</v>
      </c>
      <c r="G157" s="47"/>
    </row>
    <row r="158" spans="1:7" ht="15" customHeight="1" x14ac:dyDescent="0.3">
      <c r="A158" s="89" t="s">
        <v>541</v>
      </c>
      <c r="B158" s="54" t="s">
        <v>2</v>
      </c>
      <c r="C158" s="112">
        <v>0</v>
      </c>
      <c r="D158" s="112"/>
      <c r="E158" s="48"/>
      <c r="F158" s="47">
        <f>IF($C$159=0,"",IF(C158="[for completion]","",C158/$C$159))</f>
        <v>0</v>
      </c>
      <c r="G158" s="47"/>
    </row>
    <row r="159" spans="1:7" ht="15" customHeight="1" x14ac:dyDescent="0.3">
      <c r="A159" s="89" t="s">
        <v>542</v>
      </c>
      <c r="B159" s="8" t="s">
        <v>1</v>
      </c>
      <c r="C159" s="112">
        <f>SUM(C155:C158)</f>
        <v>72520915.930000007</v>
      </c>
      <c r="D159" s="112"/>
      <c r="E159" s="48"/>
      <c r="F159" s="47">
        <f>SUM(F154:F158)</f>
        <v>1</v>
      </c>
      <c r="G159" s="47"/>
    </row>
    <row r="160" spans="1:7" ht="15" hidden="1" customHeight="1" outlineLevel="1" x14ac:dyDescent="0.3">
      <c r="A160" s="89" t="s">
        <v>543</v>
      </c>
      <c r="B160" s="67" t="s">
        <v>197</v>
      </c>
      <c r="C160" s="112"/>
      <c r="D160" s="112"/>
      <c r="E160" s="48"/>
      <c r="F160" s="47" t="str">
        <f t="shared" ref="F160:F171" si="11">IF($C$159=0,"",IF(C160="","",C160/$C$159))</f>
        <v/>
      </c>
      <c r="G160" s="47"/>
    </row>
    <row r="161" spans="1:7" s="67" customFormat="1" ht="15" hidden="1" customHeight="1" outlineLevel="1" x14ac:dyDescent="0.3">
      <c r="A161" s="89" t="s">
        <v>544</v>
      </c>
      <c r="B161" s="67" t="s">
        <v>214</v>
      </c>
      <c r="C161" s="112"/>
      <c r="D161" s="112"/>
      <c r="F161" s="47" t="str">
        <f t="shared" si="11"/>
        <v/>
      </c>
      <c r="G161" s="47"/>
    </row>
    <row r="162" spans="1:7" ht="15" hidden="1" customHeight="1" outlineLevel="1" x14ac:dyDescent="0.3">
      <c r="A162" s="89" t="s">
        <v>545</v>
      </c>
      <c r="B162" s="67" t="s">
        <v>215</v>
      </c>
      <c r="C162" s="112"/>
      <c r="D162" s="112"/>
      <c r="E162" s="48"/>
      <c r="F162" s="47" t="str">
        <f t="shared" si="11"/>
        <v/>
      </c>
      <c r="G162" s="47"/>
    </row>
    <row r="163" spans="1:7" ht="15" hidden="1" customHeight="1" outlineLevel="1" x14ac:dyDescent="0.3">
      <c r="A163" s="89" t="s">
        <v>546</v>
      </c>
      <c r="B163" s="67" t="s">
        <v>198</v>
      </c>
      <c r="C163" s="112"/>
      <c r="D163" s="112"/>
      <c r="E163" s="48"/>
      <c r="F163" s="47" t="str">
        <f t="shared" si="11"/>
        <v/>
      </c>
      <c r="G163" s="47"/>
    </row>
    <row r="164" spans="1:7" s="67" customFormat="1" ht="15" hidden="1" customHeight="1" outlineLevel="1" x14ac:dyDescent="0.3">
      <c r="A164" s="89" t="s">
        <v>547</v>
      </c>
      <c r="B164" s="67" t="s">
        <v>216</v>
      </c>
      <c r="C164" s="112"/>
      <c r="D164" s="112"/>
      <c r="F164" s="47" t="str">
        <f t="shared" si="11"/>
        <v/>
      </c>
      <c r="G164" s="47"/>
    </row>
    <row r="165" spans="1:7" ht="15" hidden="1" customHeight="1" outlineLevel="1" x14ac:dyDescent="0.3">
      <c r="A165" s="89" t="s">
        <v>548</v>
      </c>
      <c r="B165" s="67" t="s">
        <v>217</v>
      </c>
      <c r="C165" s="112"/>
      <c r="D165" s="112"/>
      <c r="E165" s="48"/>
      <c r="F165" s="47" t="str">
        <f t="shared" si="11"/>
        <v/>
      </c>
      <c r="G165" s="47"/>
    </row>
    <row r="166" spans="1:7" ht="15" hidden="1" customHeight="1" outlineLevel="1" x14ac:dyDescent="0.3">
      <c r="A166" s="89" t="s">
        <v>549</v>
      </c>
      <c r="B166" s="67" t="s">
        <v>190</v>
      </c>
      <c r="C166" s="112"/>
      <c r="D166" s="112"/>
      <c r="E166" s="48"/>
      <c r="F166" s="47" t="str">
        <f t="shared" si="11"/>
        <v/>
      </c>
      <c r="G166" s="47"/>
    </row>
    <row r="167" spans="1:7" ht="15" hidden="1" customHeight="1" outlineLevel="1" x14ac:dyDescent="0.3">
      <c r="A167" s="89" t="s">
        <v>550</v>
      </c>
      <c r="B167" s="67" t="s">
        <v>191</v>
      </c>
      <c r="C167" s="112"/>
      <c r="D167" s="112"/>
      <c r="E167" s="48"/>
      <c r="F167" s="47" t="str">
        <f t="shared" si="11"/>
        <v/>
      </c>
      <c r="G167" s="47"/>
    </row>
    <row r="168" spans="1:7" ht="15" hidden="1" customHeight="1" outlineLevel="1" x14ac:dyDescent="0.3">
      <c r="A168" s="89" t="s">
        <v>551</v>
      </c>
      <c r="B168" s="67"/>
      <c r="C168" s="112"/>
      <c r="D168" s="112"/>
      <c r="E168" s="48"/>
      <c r="F168" s="47" t="str">
        <f t="shared" si="11"/>
        <v/>
      </c>
      <c r="G168" s="47"/>
    </row>
    <row r="169" spans="1:7" ht="15" hidden="1" customHeight="1" outlineLevel="1" x14ac:dyDescent="0.3">
      <c r="A169" s="89" t="s">
        <v>552</v>
      </c>
      <c r="B169" s="67"/>
      <c r="C169" s="112"/>
      <c r="D169" s="112"/>
      <c r="E169" s="48"/>
      <c r="F169" s="47" t="str">
        <f t="shared" si="11"/>
        <v/>
      </c>
      <c r="G169" s="47"/>
    </row>
    <row r="170" spans="1:7" ht="15" hidden="1" customHeight="1" outlineLevel="1" x14ac:dyDescent="0.3">
      <c r="A170" s="89" t="s">
        <v>553</v>
      </c>
      <c r="B170" s="67"/>
      <c r="C170" s="112"/>
      <c r="D170" s="112"/>
      <c r="E170" s="48"/>
      <c r="F170" s="47" t="str">
        <f t="shared" si="11"/>
        <v/>
      </c>
      <c r="G170" s="47"/>
    </row>
    <row r="171" spans="1:7" ht="15" hidden="1" customHeight="1" outlineLevel="1" x14ac:dyDescent="0.3">
      <c r="A171" s="89" t="s">
        <v>554</v>
      </c>
      <c r="B171" s="66"/>
      <c r="C171" s="112"/>
      <c r="D171" s="112"/>
      <c r="E171" s="48"/>
      <c r="F171" s="47" t="str">
        <f t="shared" si="11"/>
        <v/>
      </c>
      <c r="G171" s="47"/>
    </row>
    <row r="172" spans="1:7" ht="15" customHeight="1" collapsed="1" x14ac:dyDescent="0.3">
      <c r="A172" s="58"/>
      <c r="B172" s="60" t="s">
        <v>602</v>
      </c>
      <c r="C172" s="58" t="s">
        <v>82</v>
      </c>
      <c r="D172" s="58"/>
      <c r="E172" s="46"/>
      <c r="F172" s="59" t="s">
        <v>147</v>
      </c>
      <c r="G172" s="59"/>
    </row>
    <row r="173" spans="1:7" ht="15" customHeight="1" x14ac:dyDescent="0.3">
      <c r="A173" s="89" t="s">
        <v>555</v>
      </c>
      <c r="B173" s="85" t="s">
        <v>972</v>
      </c>
      <c r="C173" s="112">
        <v>72520915.930000007</v>
      </c>
      <c r="D173" s="112"/>
      <c r="E173" s="55"/>
      <c r="F173" s="47">
        <f t="shared" ref="F173:F187" si="12">IF($C$188=0,"",IF(C173="ND1","",C173/$C$188))</f>
        <v>1</v>
      </c>
      <c r="G173" s="47"/>
    </row>
    <row r="174" spans="1:7" ht="15" customHeight="1" x14ac:dyDescent="0.3">
      <c r="A174" s="89" t="s">
        <v>556</v>
      </c>
      <c r="B174" s="54" t="s">
        <v>90</v>
      </c>
      <c r="C174" s="112">
        <v>0</v>
      </c>
      <c r="D174" s="112"/>
      <c r="E174" s="48"/>
      <c r="F174" s="47">
        <f t="shared" si="12"/>
        <v>0</v>
      </c>
      <c r="G174" s="47"/>
    </row>
    <row r="175" spans="1:7" ht="15" customHeight="1" x14ac:dyDescent="0.3">
      <c r="A175" s="89" t="s">
        <v>557</v>
      </c>
      <c r="B175" s="54" t="s">
        <v>126</v>
      </c>
      <c r="C175" s="112">
        <v>0</v>
      </c>
      <c r="D175" s="112"/>
      <c r="E175" s="48"/>
      <c r="F175" s="47">
        <f t="shared" si="12"/>
        <v>0</v>
      </c>
      <c r="G175" s="47"/>
    </row>
    <row r="176" spans="1:7" ht="15" customHeight="1" x14ac:dyDescent="0.3">
      <c r="A176" s="89" t="s">
        <v>558</v>
      </c>
      <c r="B176" s="54" t="s">
        <v>115</v>
      </c>
      <c r="C176" s="112">
        <v>0</v>
      </c>
      <c r="D176" s="112"/>
      <c r="E176" s="48"/>
      <c r="F176" s="47">
        <f t="shared" si="12"/>
        <v>0</v>
      </c>
      <c r="G176" s="47"/>
    </row>
    <row r="177" spans="1:7" ht="15" customHeight="1" x14ac:dyDescent="0.3">
      <c r="A177" s="89" t="s">
        <v>559</v>
      </c>
      <c r="B177" s="54" t="s">
        <v>119</v>
      </c>
      <c r="C177" s="112">
        <v>0</v>
      </c>
      <c r="D177" s="112"/>
      <c r="E177" s="48"/>
      <c r="F177" s="47">
        <f t="shared" si="12"/>
        <v>0</v>
      </c>
      <c r="G177" s="47"/>
    </row>
    <row r="178" spans="1:7" ht="15" customHeight="1" x14ac:dyDescent="0.3">
      <c r="A178" s="89" t="s">
        <v>560</v>
      </c>
      <c r="B178" s="54" t="s">
        <v>120</v>
      </c>
      <c r="C178" s="112">
        <v>0</v>
      </c>
      <c r="D178" s="112"/>
      <c r="E178" s="48"/>
      <c r="F178" s="47">
        <f t="shared" si="12"/>
        <v>0</v>
      </c>
      <c r="G178" s="47"/>
    </row>
    <row r="179" spans="1:7" ht="15" customHeight="1" x14ac:dyDescent="0.3">
      <c r="A179" s="89" t="s">
        <v>561</v>
      </c>
      <c r="B179" s="54" t="s">
        <v>141</v>
      </c>
      <c r="C179" s="112">
        <v>0</v>
      </c>
      <c r="D179" s="112"/>
      <c r="E179" s="48"/>
      <c r="F179" s="47">
        <f t="shared" si="12"/>
        <v>0</v>
      </c>
      <c r="G179" s="47"/>
    </row>
    <row r="180" spans="1:7" ht="15" customHeight="1" x14ac:dyDescent="0.3">
      <c r="A180" s="89" t="s">
        <v>562</v>
      </c>
      <c r="B180" s="54" t="s">
        <v>121</v>
      </c>
      <c r="C180" s="112">
        <v>0</v>
      </c>
      <c r="D180" s="112"/>
      <c r="E180" s="48"/>
      <c r="F180" s="47">
        <f t="shared" si="12"/>
        <v>0</v>
      </c>
      <c r="G180" s="47"/>
    </row>
    <row r="181" spans="1:7" ht="15" customHeight="1" x14ac:dyDescent="0.3">
      <c r="A181" s="89" t="s">
        <v>563</v>
      </c>
      <c r="B181" s="54" t="s">
        <v>122</v>
      </c>
      <c r="C181" s="112">
        <v>0</v>
      </c>
      <c r="D181" s="112"/>
      <c r="E181" s="48"/>
      <c r="F181" s="47">
        <f t="shared" si="12"/>
        <v>0</v>
      </c>
      <c r="G181" s="47"/>
    </row>
    <row r="182" spans="1:7" ht="15" customHeight="1" x14ac:dyDescent="0.3">
      <c r="A182" s="89" t="s">
        <v>564</v>
      </c>
      <c r="B182" s="54" t="s">
        <v>123</v>
      </c>
      <c r="C182" s="112">
        <v>0</v>
      </c>
      <c r="D182" s="112"/>
      <c r="E182" s="48"/>
      <c r="F182" s="47">
        <f t="shared" si="12"/>
        <v>0</v>
      </c>
      <c r="G182" s="47"/>
    </row>
    <row r="183" spans="1:7" ht="15" customHeight="1" x14ac:dyDescent="0.3">
      <c r="A183" s="89" t="s">
        <v>565</v>
      </c>
      <c r="B183" s="54" t="s">
        <v>124</v>
      </c>
      <c r="C183" s="112">
        <v>0</v>
      </c>
      <c r="D183" s="112"/>
      <c r="E183" s="48"/>
      <c r="F183" s="47">
        <f t="shared" si="12"/>
        <v>0</v>
      </c>
      <c r="G183" s="47"/>
    </row>
    <row r="184" spans="1:7" ht="15" customHeight="1" x14ac:dyDescent="0.3">
      <c r="A184" s="89" t="s">
        <v>566</v>
      </c>
      <c r="B184" s="54" t="s">
        <v>127</v>
      </c>
      <c r="C184" s="112">
        <v>0</v>
      </c>
      <c r="D184" s="112"/>
      <c r="E184" s="48"/>
      <c r="F184" s="47">
        <f t="shared" si="12"/>
        <v>0</v>
      </c>
      <c r="G184" s="47"/>
    </row>
    <row r="185" spans="1:7" ht="15" customHeight="1" x14ac:dyDescent="0.3">
      <c r="A185" s="89" t="s">
        <v>567</v>
      </c>
      <c r="B185" s="54" t="s">
        <v>125</v>
      </c>
      <c r="C185" s="112">
        <v>0</v>
      </c>
      <c r="D185" s="112"/>
      <c r="E185" s="48"/>
      <c r="F185" s="47">
        <f t="shared" si="12"/>
        <v>0</v>
      </c>
      <c r="G185" s="47"/>
    </row>
    <row r="186" spans="1:7" ht="17.25" customHeight="1" x14ac:dyDescent="0.3">
      <c r="A186" s="89" t="s">
        <v>568</v>
      </c>
      <c r="B186" s="54" t="s">
        <v>2</v>
      </c>
      <c r="C186" s="112">
        <v>0</v>
      </c>
      <c r="D186" s="112"/>
      <c r="E186" s="48"/>
      <c r="F186" s="47">
        <f t="shared" si="12"/>
        <v>0</v>
      </c>
      <c r="G186" s="47"/>
    </row>
    <row r="187" spans="1:7" ht="15" customHeight="1" x14ac:dyDescent="0.3">
      <c r="A187" s="89" t="s">
        <v>569</v>
      </c>
      <c r="B187" s="56" t="s">
        <v>199</v>
      </c>
      <c r="C187" s="112">
        <f>C173</f>
        <v>72520915.930000007</v>
      </c>
      <c r="D187" s="112"/>
      <c r="E187" s="48"/>
      <c r="F187" s="47">
        <f t="shared" si="12"/>
        <v>1</v>
      </c>
      <c r="G187" s="47"/>
    </row>
    <row r="188" spans="1:7" ht="15" customHeight="1" x14ac:dyDescent="0.3">
      <c r="A188" s="89" t="s">
        <v>570</v>
      </c>
      <c r="B188" s="8" t="s">
        <v>1</v>
      </c>
      <c r="C188" s="112">
        <f>SUM(C173:C186)</f>
        <v>72520915.930000007</v>
      </c>
      <c r="D188" s="112"/>
      <c r="E188" s="48"/>
      <c r="F188" s="47">
        <f>SUM(F173:F186)</f>
        <v>1</v>
      </c>
      <c r="G188" s="47"/>
    </row>
    <row r="189" spans="1:7" ht="15" customHeight="1" x14ac:dyDescent="0.3">
      <c r="A189" s="58"/>
      <c r="B189" s="60" t="s">
        <v>603</v>
      </c>
      <c r="C189" s="58" t="s">
        <v>82</v>
      </c>
      <c r="D189" s="58"/>
      <c r="E189" s="46"/>
      <c r="F189" s="59" t="s">
        <v>146</v>
      </c>
      <c r="G189" s="59" t="s">
        <v>56</v>
      </c>
    </row>
    <row r="190" spans="1:7" ht="15" customHeight="1" x14ac:dyDescent="0.3">
      <c r="A190" s="89" t="s">
        <v>571</v>
      </c>
      <c r="B190" s="7" t="s">
        <v>168</v>
      </c>
      <c r="C190" s="112">
        <v>0</v>
      </c>
      <c r="D190" s="112"/>
      <c r="E190" s="9"/>
      <c r="F190" s="47">
        <f>IF($C$193=0,"",IF(C190="[for completion]","",C190/$C$193))</f>
        <v>0</v>
      </c>
      <c r="G190" s="47">
        <f>IF($C$193=0,"",IF(C190="[for completion]","",C190/$C$193))</f>
        <v>0</v>
      </c>
    </row>
    <row r="191" spans="1:7" ht="15" customHeight="1" x14ac:dyDescent="0.3">
      <c r="A191" s="89" t="s">
        <v>572</v>
      </c>
      <c r="B191" s="7" t="s">
        <v>167</v>
      </c>
      <c r="C191" s="112">
        <v>130000000</v>
      </c>
      <c r="D191" s="112"/>
      <c r="E191" s="9"/>
      <c r="F191" s="47">
        <f>IF($C$193=0,"",IF(C191="[for completion]","",C191/$C$193))</f>
        <v>1</v>
      </c>
      <c r="G191" s="47">
        <f>IF($C$193=0,"",IF(C191="[for completion]","",C191/$C$193))</f>
        <v>1</v>
      </c>
    </row>
    <row r="192" spans="1:7" ht="15" customHeight="1" x14ac:dyDescent="0.3">
      <c r="A192" s="89" t="s">
        <v>573</v>
      </c>
      <c r="B192" s="7" t="s">
        <v>2</v>
      </c>
      <c r="C192" s="112">
        <v>0</v>
      </c>
      <c r="D192" s="112"/>
      <c r="E192" s="9"/>
      <c r="F192" s="47">
        <f>IF($C$193=0,"",IF(C192="[for completion]","",C192/$C$193))</f>
        <v>0</v>
      </c>
      <c r="G192" s="47">
        <f>IF($C$193=0,"",IF(C192="[for completion]","",C192/$C$193))</f>
        <v>0</v>
      </c>
    </row>
    <row r="193" spans="1:8" ht="15" customHeight="1" x14ac:dyDescent="0.3">
      <c r="A193" s="89" t="s">
        <v>574</v>
      </c>
      <c r="B193" s="8" t="s">
        <v>1</v>
      </c>
      <c r="C193" s="112">
        <f>SUM(C190:C192)</f>
        <v>130000000</v>
      </c>
      <c r="D193" s="112"/>
      <c r="E193" s="9"/>
      <c r="F193" s="47">
        <f>SUM(F190:F192)</f>
        <v>1</v>
      </c>
      <c r="G193" s="47">
        <f>SUM(G190:G192)</f>
        <v>1</v>
      </c>
    </row>
    <row r="194" spans="1:8" ht="15" customHeight="1" outlineLevel="1" x14ac:dyDescent="0.3">
      <c r="A194" s="89" t="s">
        <v>984</v>
      </c>
      <c r="B194" s="66" t="s">
        <v>1170</v>
      </c>
      <c r="C194" s="112">
        <f>+C52</f>
        <v>72520915.930000007</v>
      </c>
      <c r="D194" s="112"/>
      <c r="E194" s="9"/>
      <c r="F194" s="47">
        <f>IF($C$193=0,"",IF(C194="","",C194/$C$193))</f>
        <v>0.55785319946153855</v>
      </c>
      <c r="G194" s="47">
        <f>IF($C$193=0,"",IF(C194="","",C194/$C$193))</f>
        <v>0.55785319946153855</v>
      </c>
    </row>
    <row r="195" spans="1:8" ht="15" customHeight="1" outlineLevel="1" x14ac:dyDescent="0.3">
      <c r="A195" s="89" t="s">
        <v>985</v>
      </c>
      <c r="B195" s="66" t="s">
        <v>1171</v>
      </c>
      <c r="C195" s="112">
        <f>C193-C194</f>
        <v>57479084.069999993</v>
      </c>
      <c r="D195" s="112"/>
      <c r="E195" s="9"/>
      <c r="F195" s="47">
        <f>IF($C$193=0,"",IF(C195="","",C195/$C$193))</f>
        <v>0.4421468005384615</v>
      </c>
      <c r="G195" s="47">
        <f>IF($C$193=0,"",IF(C195="","",C195/$C$193))</f>
        <v>0.4421468005384615</v>
      </c>
    </row>
    <row r="196" spans="1:8" ht="15" customHeight="1" x14ac:dyDescent="0.3">
      <c r="A196" s="58"/>
      <c r="B196" s="60" t="s">
        <v>604</v>
      </c>
      <c r="C196" s="58"/>
      <c r="D196" s="58"/>
      <c r="E196" s="46"/>
      <c r="F196" s="59"/>
      <c r="G196" s="59"/>
    </row>
    <row r="197" spans="1:8" ht="30" customHeight="1" x14ac:dyDescent="0.3">
      <c r="A197" s="89" t="s">
        <v>575</v>
      </c>
      <c r="B197" s="54" t="s">
        <v>43</v>
      </c>
      <c r="C197" s="125" t="s">
        <v>1166</v>
      </c>
    </row>
    <row r="198" spans="1:8" ht="15" customHeight="1" x14ac:dyDescent="0.3">
      <c r="A198" s="58"/>
      <c r="B198" s="60" t="s">
        <v>605</v>
      </c>
      <c r="C198" s="58"/>
      <c r="D198" s="58"/>
      <c r="E198" s="46"/>
      <c r="F198" s="59"/>
      <c r="G198" s="59"/>
    </row>
    <row r="199" spans="1:8" ht="15" customHeight="1" x14ac:dyDescent="0.3">
      <c r="A199" s="89" t="s">
        <v>576</v>
      </c>
      <c r="B199" s="89" t="s">
        <v>242</v>
      </c>
      <c r="C199" s="112">
        <v>0</v>
      </c>
      <c r="E199" s="54"/>
    </row>
    <row r="200" spans="1:8" ht="15" customHeight="1" x14ac:dyDescent="0.3">
      <c r="A200" s="89" t="s">
        <v>577</v>
      </c>
      <c r="B200" s="93" t="s">
        <v>231</v>
      </c>
      <c r="C200" s="112" t="s">
        <v>187</v>
      </c>
      <c r="E200" s="54"/>
    </row>
    <row r="201" spans="1:8" ht="15" customHeight="1" x14ac:dyDescent="0.3">
      <c r="A201" s="89" t="s">
        <v>578</v>
      </c>
      <c r="B201" s="93" t="s">
        <v>232</v>
      </c>
      <c r="C201" s="112" t="s">
        <v>187</v>
      </c>
      <c r="E201" s="54"/>
    </row>
    <row r="202" spans="1:8" ht="36" x14ac:dyDescent="0.3">
      <c r="A202" s="18"/>
      <c r="B202" s="18" t="s">
        <v>208</v>
      </c>
      <c r="C202" s="18" t="s">
        <v>74</v>
      </c>
      <c r="D202" s="18" t="s">
        <v>74</v>
      </c>
      <c r="E202" s="18"/>
      <c r="F202" s="15"/>
      <c r="G202" s="16"/>
    </row>
    <row r="203" spans="1:8" x14ac:dyDescent="0.3">
      <c r="A203" s="94" t="s">
        <v>233</v>
      </c>
      <c r="B203" s="95"/>
      <c r="C203" s="95"/>
      <c r="D203" s="95"/>
      <c r="E203" s="95"/>
      <c r="F203" s="96"/>
      <c r="G203" s="95"/>
    </row>
    <row r="204" spans="1:8" x14ac:dyDescent="0.3">
      <c r="A204" s="94" t="s">
        <v>234</v>
      </c>
      <c r="B204" s="95"/>
      <c r="C204" s="95"/>
      <c r="D204" s="95"/>
      <c r="E204" s="95"/>
      <c r="F204" s="96"/>
      <c r="G204" s="95"/>
    </row>
    <row r="205" spans="1:8" x14ac:dyDescent="0.3">
      <c r="A205" s="89" t="s">
        <v>579</v>
      </c>
      <c r="B205" s="49" t="s">
        <v>66</v>
      </c>
      <c r="C205" s="62">
        <f>ROW(B38)</f>
        <v>38</v>
      </c>
      <c r="E205" s="57"/>
      <c r="F205" s="57"/>
      <c r="G205" s="57"/>
      <c r="H205" s="57"/>
    </row>
    <row r="206" spans="1:8" x14ac:dyDescent="0.3">
      <c r="A206" s="89" t="s">
        <v>580</v>
      </c>
      <c r="B206" s="49" t="s">
        <v>67</v>
      </c>
      <c r="C206" s="62">
        <f>ROW(B39)</f>
        <v>39</v>
      </c>
      <c r="E206" s="57"/>
      <c r="F206" s="57"/>
    </row>
    <row r="207" spans="1:8" x14ac:dyDescent="0.3">
      <c r="A207" s="89" t="s">
        <v>581</v>
      </c>
      <c r="B207" s="49" t="s">
        <v>46</v>
      </c>
      <c r="C207" s="62" t="str">
        <f>ROW('B1. HTT Mortgage Assets'!B43)&amp; " for Mortgage Assets"</f>
        <v>43 for Mortgage Assets</v>
      </c>
      <c r="D207" s="62"/>
      <c r="E207" s="39"/>
      <c r="F207" s="57"/>
      <c r="G207" s="39"/>
      <c r="H207" s="39"/>
    </row>
    <row r="208" spans="1:8" x14ac:dyDescent="0.3">
      <c r="A208" s="89" t="s">
        <v>582</v>
      </c>
      <c r="B208" s="49" t="s">
        <v>68</v>
      </c>
      <c r="C208" s="62">
        <f>ROW(B48)</f>
        <v>48</v>
      </c>
    </row>
    <row r="209" spans="1:8" ht="28.8" x14ac:dyDescent="0.3">
      <c r="A209" s="89" t="s">
        <v>583</v>
      </c>
      <c r="B209" s="49" t="s">
        <v>69</v>
      </c>
      <c r="C209" s="82" t="str">
        <f>ROW('B1. HTT Mortgage Assets'!B167)&amp;" for Residential Mortgage Assets"</f>
        <v>167 for Residential Mortgage Assets</v>
      </c>
      <c r="D209" s="62" t="str">
        <f>ROW('B1. HTT Mortgage Assets'!B254 )&amp; " for Commercial Mortgage Assets"</f>
        <v>254 for Commercial Mortgage Assets</v>
      </c>
      <c r="E209" s="39"/>
      <c r="F209" s="62"/>
      <c r="G209" s="39"/>
      <c r="H209" s="39"/>
    </row>
    <row r="210" spans="1:8" x14ac:dyDescent="0.3">
      <c r="A210" s="89" t="s">
        <v>584</v>
      </c>
      <c r="B210" s="49" t="s">
        <v>256</v>
      </c>
      <c r="C210" s="62" t="str">
        <f>ROW('B1. HTT Mortgage Assets'!B130)&amp;" for Mortgage Assets"</f>
        <v>130 for Mortgage Assets</v>
      </c>
      <c r="D210" s="62">
        <f>ROW(B143)</f>
        <v>143</v>
      </c>
      <c r="F210" s="62"/>
    </row>
    <row r="211" spans="1:8" x14ac:dyDescent="0.3">
      <c r="A211" s="89" t="s">
        <v>585</v>
      </c>
      <c r="B211" s="49" t="s">
        <v>257</v>
      </c>
      <c r="C211" s="62">
        <f>ROW(B100)</f>
        <v>100</v>
      </c>
      <c r="F211" s="39"/>
    </row>
    <row r="212" spans="1:8" x14ac:dyDescent="0.3">
      <c r="A212" s="89" t="s">
        <v>586</v>
      </c>
      <c r="B212" s="49" t="s">
        <v>70</v>
      </c>
      <c r="C212" s="62">
        <f>ROW(B143)</f>
        <v>143</v>
      </c>
      <c r="E212" s="39"/>
      <c r="F212" s="39"/>
    </row>
    <row r="213" spans="1:8" x14ac:dyDescent="0.3">
      <c r="A213" s="89" t="s">
        <v>587</v>
      </c>
      <c r="B213" s="49" t="s">
        <v>71</v>
      </c>
      <c r="C213" s="62">
        <f>ROW(B126)</f>
        <v>126</v>
      </c>
      <c r="E213" s="39"/>
      <c r="F213" s="39"/>
    </row>
    <row r="214" spans="1:8" x14ac:dyDescent="0.3">
      <c r="A214" s="89" t="s">
        <v>588</v>
      </c>
      <c r="B214" s="53" t="s">
        <v>225</v>
      </c>
      <c r="C214" s="62" t="str">
        <f>ROW('C. HTT Harmonised Glossary'!B17)&amp;" for Harmonised Glossary"</f>
        <v>17 for Harmonised Glossary</v>
      </c>
      <c r="E214" s="39"/>
    </row>
    <row r="215" spans="1:8" x14ac:dyDescent="0.3">
      <c r="A215" s="89" t="s">
        <v>589</v>
      </c>
      <c r="B215" s="49" t="s">
        <v>72</v>
      </c>
      <c r="C215" s="62">
        <f>ROW(B55)</f>
        <v>55</v>
      </c>
      <c r="E215" s="39"/>
    </row>
    <row r="216" spans="1:8" x14ac:dyDescent="0.3">
      <c r="A216" s="89" t="s">
        <v>590</v>
      </c>
      <c r="B216" s="49" t="s">
        <v>73</v>
      </c>
      <c r="C216" s="62">
        <f>ROW(B77)</f>
        <v>77</v>
      </c>
      <c r="E216" s="39"/>
    </row>
    <row r="217" spans="1:8" x14ac:dyDescent="0.3">
      <c r="A217" s="89" t="s">
        <v>591</v>
      </c>
      <c r="B217" s="49" t="s">
        <v>47</v>
      </c>
      <c r="C217" s="62" t="str">
        <f>ROW('B1. HTT Mortgage Assets'!B160)&amp; " for Mortgage Assets"</f>
        <v>160 for Mortgage Assets</v>
      </c>
      <c r="D217" s="62"/>
      <c r="E217" s="39"/>
    </row>
    <row r="218" spans="1:8" ht="36" x14ac:dyDescent="0.3">
      <c r="A218" s="15"/>
      <c r="B218" s="18" t="s">
        <v>210</v>
      </c>
      <c r="C218" s="15"/>
      <c r="D218" s="15"/>
      <c r="E218" s="15"/>
      <c r="F218" s="15"/>
      <c r="G218" s="16"/>
    </row>
    <row r="219" spans="1:8" x14ac:dyDescent="0.3">
      <c r="A219" s="89" t="s">
        <v>592</v>
      </c>
      <c r="B219" s="70" t="s">
        <v>131</v>
      </c>
      <c r="C219" s="62">
        <f>ROW(B153)</f>
        <v>153</v>
      </c>
    </row>
    <row r="220" spans="1:8" ht="18" x14ac:dyDescent="0.3">
      <c r="A220" s="15"/>
      <c r="B220" s="18" t="s">
        <v>211</v>
      </c>
      <c r="C220" s="15"/>
      <c r="D220" s="15"/>
      <c r="E220" s="15"/>
      <c r="F220" s="15"/>
      <c r="G220" s="1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05" location="'A. HTT General'!A38" display="'A. HTT General'!A38"/>
    <hyperlink ref="C206" location="'A. HTT General'!A39" display="'A. HTT General'!A39"/>
    <hyperlink ref="C207" location="'B1. HTT Mortgage Assets'!B43" display="'B1. HTT Mortgage Assets'!B43"/>
    <hyperlink ref="C208" location="'A. HTT General'!A52" display="'A. HTT General'!A52"/>
    <hyperlink ref="C212" location="'A. HTT General'!B161" display="'A. HTT General'!B161"/>
    <hyperlink ref="C213" location="'A. HTT General'!B135" display="'A. HTT General'!B135"/>
    <hyperlink ref="C214" location="'C. HTT Harmonised Glossary'!B17" display="'C. HTT Harmonised Glossary'!B17"/>
    <hyperlink ref="C215" location="'A. HTT General'!B65" display="'A. HTT General'!B65"/>
    <hyperlink ref="C216" location="'A. HTT General'!B87" display="'A. HTT General'!B87"/>
    <hyperlink ref="C217" location="'B1. HTT Mortgage Assets'!B160" display="'B1. HTT Mortgage Assets'!B160"/>
    <hyperlink ref="C219"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11" location="'A. HTT General'!B109" display="'A. HTT General'!B109"/>
    <hyperlink ref="D209" location="'B1. HTT Mortgage Assets'!B266" display="'B1. HTT Mortgage Assets'!B266"/>
    <hyperlink ref="C209" location="'B1. HTT Mortgage Assets'!B166" display="'B1. HTT Mortgage Assets'!B166"/>
    <hyperlink ref="C210" location="'B1. HTT Mortgage Assets'!B130" display="'B1. HTT Mortgage Assets'!B130"/>
    <hyperlink ref="D210" location="'A. HTT General'!B227" display="'A. HTT General'!B227"/>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0" location="'A. HTT General'!B309" display="5. References to Capital Requirements Regulation (CRR) 129(1)"/>
    <hyperlink ref="B11" location="'A. HTT General'!B317" display="6. Other relevant information"/>
    <hyperlink ref="B27" r:id="rId4" display="UCITS Compliance"/>
    <hyperlink ref="B28" r:id="rId5" display="CRR Compliance"/>
    <hyperlink ref="B29" r:id="rId6"/>
    <hyperlink ref="C197" r:id="rId7" location="tab-002"/>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K342"/>
  <sheetViews>
    <sheetView zoomScale="90" zoomScaleNormal="90" zoomScaleSheetLayoutView="80" zoomScalePageLayoutView="80" workbookViewId="0">
      <selection activeCell="C44" sqref="C44"/>
    </sheetView>
  </sheetViews>
  <sheetFormatPr defaultColWidth="8.88671875" defaultRowHeight="14.4" outlineLevelRow="1" x14ac:dyDescent="0.3"/>
  <cols>
    <col min="1" max="1" width="13.88671875" style="89" customWidth="1" collapsed="1"/>
    <col min="2" max="2" width="60.88671875" style="89" customWidth="1" collapsed="1"/>
    <col min="3" max="4" width="24.5546875" style="89" customWidth="1" collapsed="1"/>
    <col min="5" max="5" width="16.33203125" style="89" customWidth="1" collapsed="1"/>
    <col min="6" max="6" width="22.88671875" style="89" customWidth="1" collapsed="1"/>
    <col min="7" max="7" width="22.88671875" style="52" customWidth="1" collapsed="1"/>
    <col min="8" max="11" width="8.88671875" style="51"/>
    <col min="12" max="16384" width="8.88671875" style="51" collapsed="1"/>
  </cols>
  <sheetData>
    <row r="1" spans="1:7" ht="31.5" customHeight="1" x14ac:dyDescent="0.3">
      <c r="A1" s="19" t="s">
        <v>248</v>
      </c>
      <c r="B1" s="19"/>
      <c r="C1" s="52"/>
      <c r="D1" s="52"/>
      <c r="E1" s="52"/>
      <c r="F1" s="52"/>
    </row>
    <row r="2" spans="1:7" ht="15.75" customHeight="1" thickBot="1" x14ac:dyDescent="0.35">
      <c r="A2" s="52"/>
      <c r="B2" s="52"/>
      <c r="C2" s="52"/>
      <c r="D2" s="52"/>
      <c r="E2" s="52"/>
      <c r="F2" s="52"/>
    </row>
    <row r="3" spans="1:7" ht="19.5" customHeight="1" thickBot="1" x14ac:dyDescent="0.35">
      <c r="A3" s="44"/>
      <c r="B3" s="43" t="s">
        <v>129</v>
      </c>
      <c r="C3" s="92" t="s">
        <v>969</v>
      </c>
      <c r="D3" s="44"/>
      <c r="E3" s="44"/>
      <c r="F3" s="44"/>
      <c r="G3" s="44"/>
    </row>
    <row r="4" spans="1:7" ht="15" thickBot="1" x14ac:dyDescent="0.35"/>
    <row r="5" spans="1:7" ht="18.75" customHeight="1" x14ac:dyDescent="0.3">
      <c r="A5" s="61"/>
      <c r="B5" s="78" t="s">
        <v>249</v>
      </c>
      <c r="C5" s="61"/>
      <c r="E5" s="3"/>
      <c r="F5" s="3"/>
    </row>
    <row r="6" spans="1:7" ht="15" customHeight="1" x14ac:dyDescent="0.3">
      <c r="B6" s="73" t="s">
        <v>219</v>
      </c>
    </row>
    <row r="7" spans="1:7" ht="15" customHeight="1" x14ac:dyDescent="0.3">
      <c r="B7" s="74" t="s">
        <v>220</v>
      </c>
    </row>
    <row r="8" spans="1:7" ht="15.75" customHeight="1" thickBot="1" x14ac:dyDescent="0.35">
      <c r="B8" s="79" t="s">
        <v>221</v>
      </c>
    </row>
    <row r="9" spans="1:7" ht="15" customHeight="1" x14ac:dyDescent="0.3">
      <c r="B9" s="65"/>
    </row>
    <row r="10" spans="1:7" ht="37.5" customHeight="1" x14ac:dyDescent="0.3">
      <c r="A10" s="18" t="s">
        <v>218</v>
      </c>
      <c r="B10" s="18" t="s">
        <v>219</v>
      </c>
      <c r="C10" s="15"/>
      <c r="D10" s="15"/>
      <c r="E10" s="15"/>
      <c r="F10" s="15"/>
      <c r="G10" s="16"/>
    </row>
    <row r="11" spans="1:7" ht="15" customHeight="1" x14ac:dyDescent="0.3">
      <c r="A11" s="58"/>
      <c r="B11" s="60" t="s">
        <v>880</v>
      </c>
      <c r="C11" s="58" t="s">
        <v>82</v>
      </c>
      <c r="D11" s="58"/>
      <c r="E11" s="58"/>
      <c r="F11" s="59" t="s">
        <v>148</v>
      </c>
      <c r="G11" s="59"/>
    </row>
    <row r="12" spans="1:7" x14ac:dyDescent="0.3">
      <c r="A12" s="89" t="s">
        <v>606</v>
      </c>
      <c r="B12" s="89" t="s">
        <v>3</v>
      </c>
      <c r="C12" s="112">
        <v>4271932589.96</v>
      </c>
      <c r="D12" s="112"/>
      <c r="F12" s="47">
        <f>IF($C$15=0,"",IF(C12="[for completion]","",C12/$C$15))</f>
        <v>0.53265057555759021</v>
      </c>
      <c r="G12" s="47"/>
    </row>
    <row r="13" spans="1:7" x14ac:dyDescent="0.3">
      <c r="A13" s="89" t="s">
        <v>607</v>
      </c>
      <c r="B13" s="89" t="s">
        <v>4</v>
      </c>
      <c r="C13" s="112">
        <v>3748208166.46</v>
      </c>
      <c r="D13" s="112"/>
      <c r="F13" s="47">
        <f>IF($C$15=0,"",IF(C13="[for completion]","",C13/$C$15))</f>
        <v>0.46734942444240979</v>
      </c>
      <c r="G13" s="47"/>
    </row>
    <row r="14" spans="1:7" x14ac:dyDescent="0.3">
      <c r="A14" s="89" t="s">
        <v>608</v>
      </c>
      <c r="B14" s="89" t="s">
        <v>2</v>
      </c>
      <c r="C14" s="112">
        <v>0</v>
      </c>
      <c r="D14" s="112"/>
      <c r="F14" s="47">
        <f>IF($C$15=0,"",IF(C14="[for completion]","",C14/$C$15))</f>
        <v>0</v>
      </c>
      <c r="G14" s="47"/>
    </row>
    <row r="15" spans="1:7" x14ac:dyDescent="0.3">
      <c r="A15" s="89" t="s">
        <v>609</v>
      </c>
      <c r="B15" s="36" t="s">
        <v>1</v>
      </c>
      <c r="C15" s="112">
        <f>SUM(C12:C14)</f>
        <v>8020140756.4200001</v>
      </c>
      <c r="D15" s="112"/>
      <c r="F15" s="47">
        <f>SUM(F12:F14)</f>
        <v>1</v>
      </c>
      <c r="G15" s="47"/>
    </row>
    <row r="16" spans="1:7" ht="15" hidden="1" customHeight="1" outlineLevel="1" x14ac:dyDescent="0.3">
      <c r="A16" s="89" t="s">
        <v>610</v>
      </c>
      <c r="B16" s="66" t="s">
        <v>162</v>
      </c>
      <c r="C16" s="112"/>
      <c r="D16" s="112"/>
      <c r="F16" s="47" t="str">
        <f t="shared" ref="F16:F26" si="0">IF($C$15=0,"",IF(C16="","",C16/$C$15))</f>
        <v/>
      </c>
      <c r="G16" s="47"/>
    </row>
    <row r="17" spans="1:7" ht="15" hidden="1" customHeight="1" outlineLevel="1" x14ac:dyDescent="0.3">
      <c r="A17" s="89" t="s">
        <v>611</v>
      </c>
      <c r="B17" s="66" t="s">
        <v>159</v>
      </c>
      <c r="C17" s="112"/>
      <c r="D17" s="112"/>
      <c r="F17" s="47" t="str">
        <f t="shared" si="0"/>
        <v/>
      </c>
      <c r="G17" s="47"/>
    </row>
    <row r="18" spans="1:7" ht="15" hidden="1" customHeight="1" outlineLevel="1" x14ac:dyDescent="0.3">
      <c r="A18" s="89" t="s">
        <v>612</v>
      </c>
      <c r="B18" s="66" t="s">
        <v>155</v>
      </c>
      <c r="C18" s="112"/>
      <c r="D18" s="112"/>
      <c r="F18" s="47" t="str">
        <f t="shared" si="0"/>
        <v/>
      </c>
      <c r="G18" s="47"/>
    </row>
    <row r="19" spans="1:7" ht="15" hidden="1" customHeight="1" outlineLevel="1" x14ac:dyDescent="0.3">
      <c r="A19" s="89" t="s">
        <v>613</v>
      </c>
      <c r="B19" s="66" t="s">
        <v>155</v>
      </c>
      <c r="C19" s="112"/>
      <c r="D19" s="112"/>
      <c r="F19" s="47" t="str">
        <f t="shared" si="0"/>
        <v/>
      </c>
      <c r="G19" s="47"/>
    </row>
    <row r="20" spans="1:7" ht="15" hidden="1" customHeight="1" outlineLevel="1" x14ac:dyDescent="0.3">
      <c r="A20" s="89" t="s">
        <v>614</v>
      </c>
      <c r="B20" s="66" t="s">
        <v>155</v>
      </c>
      <c r="C20" s="112"/>
      <c r="D20" s="112"/>
      <c r="F20" s="47" t="str">
        <f t="shared" si="0"/>
        <v/>
      </c>
      <c r="G20" s="47"/>
    </row>
    <row r="21" spans="1:7" ht="15" hidden="1" customHeight="1" outlineLevel="1" x14ac:dyDescent="0.3">
      <c r="A21" s="89" t="s">
        <v>615</v>
      </c>
      <c r="B21" s="66" t="s">
        <v>155</v>
      </c>
      <c r="C21" s="112"/>
      <c r="D21" s="112"/>
      <c r="F21" s="47" t="str">
        <f t="shared" si="0"/>
        <v/>
      </c>
      <c r="G21" s="47"/>
    </row>
    <row r="22" spans="1:7" ht="15" hidden="1" customHeight="1" outlineLevel="1" x14ac:dyDescent="0.3">
      <c r="A22" s="89" t="s">
        <v>616</v>
      </c>
      <c r="B22" s="66" t="s">
        <v>155</v>
      </c>
      <c r="C22" s="112"/>
      <c r="D22" s="112"/>
      <c r="F22" s="47" t="str">
        <f t="shared" si="0"/>
        <v/>
      </c>
      <c r="G22" s="47"/>
    </row>
    <row r="23" spans="1:7" ht="15" hidden="1" customHeight="1" outlineLevel="1" x14ac:dyDescent="0.3">
      <c r="A23" s="89" t="s">
        <v>617</v>
      </c>
      <c r="B23" s="66" t="s">
        <v>155</v>
      </c>
      <c r="C23" s="112"/>
      <c r="D23" s="112"/>
      <c r="F23" s="47" t="str">
        <f t="shared" si="0"/>
        <v/>
      </c>
      <c r="G23" s="47"/>
    </row>
    <row r="24" spans="1:7" ht="15" hidden="1" customHeight="1" outlineLevel="1" x14ac:dyDescent="0.3">
      <c r="A24" s="89" t="s">
        <v>618</v>
      </c>
      <c r="B24" s="66" t="s">
        <v>155</v>
      </c>
      <c r="C24" s="112"/>
      <c r="D24" s="112"/>
      <c r="F24" s="47" t="str">
        <f t="shared" si="0"/>
        <v/>
      </c>
      <c r="G24" s="47"/>
    </row>
    <row r="25" spans="1:7" ht="15" hidden="1" customHeight="1" outlineLevel="1" x14ac:dyDescent="0.3">
      <c r="A25" s="89" t="s">
        <v>619</v>
      </c>
      <c r="B25" s="66" t="s">
        <v>155</v>
      </c>
      <c r="C25" s="112"/>
      <c r="D25" s="112"/>
      <c r="F25" s="47" t="str">
        <f t="shared" si="0"/>
        <v/>
      </c>
      <c r="G25" s="47"/>
    </row>
    <row r="26" spans="1:7" ht="15" hidden="1" customHeight="1" outlineLevel="1" x14ac:dyDescent="0.3">
      <c r="A26" s="89" t="s">
        <v>620</v>
      </c>
      <c r="B26" s="66" t="s">
        <v>155</v>
      </c>
      <c r="C26" s="112"/>
      <c r="D26" s="112"/>
      <c r="E26" s="51"/>
      <c r="F26" s="47" t="str">
        <f t="shared" si="0"/>
        <v/>
      </c>
      <c r="G26" s="47"/>
    </row>
    <row r="27" spans="1:7" ht="15" customHeight="1" collapsed="1" x14ac:dyDescent="0.3">
      <c r="A27" s="58"/>
      <c r="B27" s="60" t="s">
        <v>881</v>
      </c>
      <c r="C27" s="58" t="s">
        <v>142</v>
      </c>
      <c r="D27" s="58" t="s">
        <v>143</v>
      </c>
      <c r="E27" s="46"/>
      <c r="F27" s="58" t="s">
        <v>149</v>
      </c>
      <c r="G27" s="59"/>
    </row>
    <row r="28" spans="1:7" ht="15" customHeight="1" x14ac:dyDescent="0.3">
      <c r="A28" s="89" t="s">
        <v>621</v>
      </c>
      <c r="B28" s="89" t="s">
        <v>206</v>
      </c>
      <c r="C28" s="89">
        <v>16954</v>
      </c>
      <c r="D28" s="89">
        <v>307</v>
      </c>
      <c r="F28" s="89">
        <f>SUM(C28:D28)</f>
        <v>17261</v>
      </c>
    </row>
    <row r="29" spans="1:7" hidden="1" outlineLevel="1" x14ac:dyDescent="0.3">
      <c r="A29" s="89" t="s">
        <v>622</v>
      </c>
      <c r="B29" s="90" t="s">
        <v>192</v>
      </c>
      <c r="C29" s="89">
        <v>26422</v>
      </c>
      <c r="D29" s="89">
        <v>237</v>
      </c>
      <c r="F29" s="89">
        <f>SUM(C29:D29)</f>
        <v>26659</v>
      </c>
    </row>
    <row r="30" spans="1:7" ht="15" hidden="1" customHeight="1" outlineLevel="1" x14ac:dyDescent="0.3">
      <c r="A30" s="89" t="s">
        <v>623</v>
      </c>
      <c r="B30" s="90" t="s">
        <v>193</v>
      </c>
    </row>
    <row r="31" spans="1:7" ht="15" hidden="1" customHeight="1" outlineLevel="1" x14ac:dyDescent="0.3">
      <c r="A31" s="89" t="s">
        <v>624</v>
      </c>
      <c r="B31" s="90"/>
    </row>
    <row r="32" spans="1:7" ht="15" hidden="1" customHeight="1" outlineLevel="1" x14ac:dyDescent="0.3">
      <c r="A32" s="89" t="s">
        <v>625</v>
      </c>
      <c r="B32" s="90"/>
    </row>
    <row r="33" spans="1:7" ht="15" hidden="1" customHeight="1" outlineLevel="1" x14ac:dyDescent="0.3">
      <c r="A33" s="89" t="s">
        <v>626</v>
      </c>
      <c r="B33" s="90"/>
    </row>
    <row r="34" spans="1:7" ht="15" hidden="1" customHeight="1" outlineLevel="1" x14ac:dyDescent="0.3">
      <c r="A34" s="89" t="s">
        <v>627</v>
      </c>
      <c r="B34" s="90"/>
    </row>
    <row r="35" spans="1:7" ht="15" customHeight="1" collapsed="1" x14ac:dyDescent="0.3">
      <c r="A35" s="58"/>
      <c r="B35" s="60" t="s">
        <v>882</v>
      </c>
      <c r="C35" s="58" t="s">
        <v>144</v>
      </c>
      <c r="D35" s="58" t="s">
        <v>145</v>
      </c>
      <c r="E35" s="46"/>
      <c r="F35" s="59" t="s">
        <v>148</v>
      </c>
      <c r="G35" s="59"/>
    </row>
    <row r="36" spans="1:7" x14ac:dyDescent="0.3">
      <c r="A36" s="89" t="s">
        <v>628</v>
      </c>
      <c r="B36" s="89" t="s">
        <v>200</v>
      </c>
      <c r="C36" s="47">
        <f>23904297.54/C12</f>
        <v>5.5956635636480925E-3</v>
      </c>
      <c r="D36" s="47">
        <f>852876115.84/C13</f>
        <v>0.22754235569725573</v>
      </c>
      <c r="F36" s="47">
        <f>852876115.84/C15</f>
        <v>0.10634178897138255</v>
      </c>
      <c r="G36" s="47"/>
    </row>
    <row r="37" spans="1:7" ht="15" hidden="1" customHeight="1" outlineLevel="1" x14ac:dyDescent="0.3">
      <c r="A37" s="89" t="s">
        <v>629</v>
      </c>
      <c r="C37" s="47"/>
      <c r="D37" s="47"/>
    </row>
    <row r="38" spans="1:7" ht="15" hidden="1" customHeight="1" outlineLevel="1" x14ac:dyDescent="0.3">
      <c r="A38" s="89" t="s">
        <v>630</v>
      </c>
      <c r="C38" s="47"/>
      <c r="D38" s="47"/>
    </row>
    <row r="39" spans="1:7" ht="15" hidden="1" customHeight="1" outlineLevel="1" x14ac:dyDescent="0.3">
      <c r="A39" s="89" t="s">
        <v>631</v>
      </c>
      <c r="C39" s="47"/>
      <c r="D39" s="47"/>
    </row>
    <row r="40" spans="1:7" ht="15" hidden="1" customHeight="1" outlineLevel="1" x14ac:dyDescent="0.3">
      <c r="A40" s="89" t="s">
        <v>632</v>
      </c>
      <c r="C40" s="47"/>
      <c r="D40" s="47"/>
    </row>
    <row r="41" spans="1:7" ht="15" hidden="1" customHeight="1" outlineLevel="1" x14ac:dyDescent="0.3">
      <c r="A41" s="89" t="s">
        <v>633</v>
      </c>
      <c r="C41" s="47"/>
      <c r="D41" s="47"/>
    </row>
    <row r="42" spans="1:7" ht="15" hidden="1" customHeight="1" outlineLevel="1" x14ac:dyDescent="0.3">
      <c r="A42" s="89" t="s">
        <v>634</v>
      </c>
      <c r="C42" s="47"/>
      <c r="D42" s="47"/>
    </row>
    <row r="43" spans="1:7" ht="15" customHeight="1" collapsed="1" x14ac:dyDescent="0.3">
      <c r="A43" s="58"/>
      <c r="B43" s="60" t="s">
        <v>883</v>
      </c>
      <c r="C43" s="58" t="s">
        <v>144</v>
      </c>
      <c r="D43" s="58" t="s">
        <v>145</v>
      </c>
      <c r="E43" s="46"/>
      <c r="F43" s="59" t="s">
        <v>148</v>
      </c>
      <c r="G43" s="59"/>
    </row>
    <row r="44" spans="1:7" ht="15" customHeight="1" x14ac:dyDescent="0.3">
      <c r="A44" s="89" t="s">
        <v>635</v>
      </c>
      <c r="B44" s="69" t="s">
        <v>91</v>
      </c>
      <c r="C44" s="47">
        <f>SUM(C45:C72)</f>
        <v>1</v>
      </c>
      <c r="D44" s="47">
        <f>SUM(D45:D72)</f>
        <v>1</v>
      </c>
      <c r="F44" s="47">
        <f>SUM(F45:F72)</f>
        <v>1</v>
      </c>
      <c r="G44" s="89"/>
    </row>
    <row r="45" spans="1:7" ht="15" customHeight="1" x14ac:dyDescent="0.3">
      <c r="A45" s="89" t="s">
        <v>636</v>
      </c>
      <c r="B45" s="89" t="s">
        <v>104</v>
      </c>
      <c r="C45" s="47">
        <v>0</v>
      </c>
      <c r="D45" s="47">
        <v>0</v>
      </c>
      <c r="F45" s="47">
        <v>0</v>
      </c>
      <c r="G45" s="89"/>
    </row>
    <row r="46" spans="1:7" ht="15" customHeight="1" x14ac:dyDescent="0.3">
      <c r="A46" s="89" t="s">
        <v>637</v>
      </c>
      <c r="B46" s="89" t="s">
        <v>92</v>
      </c>
      <c r="C46" s="47">
        <v>0</v>
      </c>
      <c r="D46" s="47">
        <v>0</v>
      </c>
      <c r="F46" s="47">
        <v>0</v>
      </c>
      <c r="G46" s="89"/>
    </row>
    <row r="47" spans="1:7" ht="15" customHeight="1" x14ac:dyDescent="0.3">
      <c r="A47" s="89" t="s">
        <v>638</v>
      </c>
      <c r="B47" s="89" t="s">
        <v>93</v>
      </c>
      <c r="C47" s="47">
        <v>0</v>
      </c>
      <c r="D47" s="47">
        <v>0</v>
      </c>
      <c r="F47" s="47">
        <v>0</v>
      </c>
      <c r="G47" s="89"/>
    </row>
    <row r="48" spans="1:7" ht="15" customHeight="1" x14ac:dyDescent="0.3">
      <c r="A48" s="89" t="s">
        <v>639</v>
      </c>
      <c r="B48" s="89" t="s">
        <v>255</v>
      </c>
      <c r="C48" s="47">
        <v>0</v>
      </c>
      <c r="D48" s="47">
        <v>0</v>
      </c>
      <c r="F48" s="47">
        <v>0</v>
      </c>
      <c r="G48" s="89"/>
    </row>
    <row r="49" spans="1:7" ht="15" customHeight="1" x14ac:dyDescent="0.3">
      <c r="A49" s="89" t="s">
        <v>640</v>
      </c>
      <c r="B49" s="89" t="s">
        <v>114</v>
      </c>
      <c r="C49" s="47">
        <v>0</v>
      </c>
      <c r="D49" s="47">
        <v>0</v>
      </c>
      <c r="F49" s="47">
        <v>0</v>
      </c>
      <c r="G49" s="89"/>
    </row>
    <row r="50" spans="1:7" ht="15" customHeight="1" x14ac:dyDescent="0.3">
      <c r="A50" s="89" t="s">
        <v>641</v>
      </c>
      <c r="B50" s="89" t="s">
        <v>111</v>
      </c>
      <c r="C50" s="47">
        <v>0</v>
      </c>
      <c r="D50" s="47">
        <v>0</v>
      </c>
      <c r="F50" s="47">
        <v>0</v>
      </c>
      <c r="G50" s="89"/>
    </row>
    <row r="51" spans="1:7" ht="15" customHeight="1" x14ac:dyDescent="0.3">
      <c r="A51" s="89" t="s">
        <v>642</v>
      </c>
      <c r="B51" s="89" t="s">
        <v>94</v>
      </c>
      <c r="C51" s="47">
        <v>0</v>
      </c>
      <c r="D51" s="47">
        <v>0</v>
      </c>
      <c r="F51" s="47">
        <v>0</v>
      </c>
      <c r="G51" s="89"/>
    </row>
    <row r="52" spans="1:7" ht="15" customHeight="1" x14ac:dyDescent="0.3">
      <c r="A52" s="89" t="s">
        <v>643</v>
      </c>
      <c r="B52" s="89" t="s">
        <v>95</v>
      </c>
      <c r="C52" s="47">
        <v>0</v>
      </c>
      <c r="D52" s="47">
        <v>0</v>
      </c>
      <c r="F52" s="47">
        <v>0</v>
      </c>
      <c r="G52" s="89"/>
    </row>
    <row r="53" spans="1:7" ht="15" customHeight="1" x14ac:dyDescent="0.3">
      <c r="A53" s="89" t="s">
        <v>644</v>
      </c>
      <c r="B53" s="89" t="s">
        <v>96</v>
      </c>
      <c r="C53" s="47">
        <v>0</v>
      </c>
      <c r="D53" s="47">
        <v>0</v>
      </c>
      <c r="F53" s="47">
        <v>0</v>
      </c>
      <c r="G53" s="89"/>
    </row>
    <row r="54" spans="1:7" ht="15" customHeight="1" x14ac:dyDescent="0.3">
      <c r="A54" s="89" t="s">
        <v>645</v>
      </c>
      <c r="B54" s="89" t="s">
        <v>0</v>
      </c>
      <c r="C54" s="47">
        <v>0</v>
      </c>
      <c r="D54" s="47">
        <v>0</v>
      </c>
      <c r="F54" s="47">
        <v>0</v>
      </c>
      <c r="G54" s="89"/>
    </row>
    <row r="55" spans="1:7" ht="15" customHeight="1" x14ac:dyDescent="0.3">
      <c r="A55" s="89" t="s">
        <v>646</v>
      </c>
      <c r="B55" s="89" t="s">
        <v>14</v>
      </c>
      <c r="C55" s="47">
        <v>0</v>
      </c>
      <c r="D55" s="47">
        <v>0</v>
      </c>
      <c r="F55" s="47">
        <v>0</v>
      </c>
      <c r="G55" s="89"/>
    </row>
    <row r="56" spans="1:7" ht="15" customHeight="1" x14ac:dyDescent="0.3">
      <c r="A56" s="89" t="s">
        <v>647</v>
      </c>
      <c r="B56" s="89" t="s">
        <v>97</v>
      </c>
      <c r="C56" s="47">
        <v>0</v>
      </c>
      <c r="D56" s="47">
        <v>0</v>
      </c>
      <c r="F56" s="47">
        <v>0</v>
      </c>
      <c r="G56" s="89"/>
    </row>
    <row r="57" spans="1:7" ht="15" customHeight="1" x14ac:dyDescent="0.3">
      <c r="A57" s="89" t="s">
        <v>648</v>
      </c>
      <c r="B57" s="89" t="s">
        <v>258</v>
      </c>
      <c r="C57" s="47">
        <v>0</v>
      </c>
      <c r="D57" s="47">
        <v>0</v>
      </c>
      <c r="F57" s="47">
        <v>0</v>
      </c>
      <c r="G57" s="89"/>
    </row>
    <row r="58" spans="1:7" ht="15" customHeight="1" x14ac:dyDescent="0.3">
      <c r="A58" s="89" t="s">
        <v>649</v>
      </c>
      <c r="B58" s="89" t="s">
        <v>112</v>
      </c>
      <c r="C58" s="47">
        <v>0</v>
      </c>
      <c r="D58" s="47">
        <v>0</v>
      </c>
      <c r="F58" s="47">
        <v>0</v>
      </c>
      <c r="G58" s="89"/>
    </row>
    <row r="59" spans="1:7" ht="15" customHeight="1" x14ac:dyDescent="0.3">
      <c r="A59" s="89" t="s">
        <v>650</v>
      </c>
      <c r="B59" s="89" t="s">
        <v>98</v>
      </c>
      <c r="C59" s="47">
        <v>0</v>
      </c>
      <c r="D59" s="47">
        <v>0</v>
      </c>
      <c r="F59" s="47">
        <v>0</v>
      </c>
      <c r="G59" s="89"/>
    </row>
    <row r="60" spans="1:7" ht="15" customHeight="1" x14ac:dyDescent="0.3">
      <c r="A60" s="89" t="s">
        <v>651</v>
      </c>
      <c r="B60" s="89" t="s">
        <v>99</v>
      </c>
      <c r="C60" s="47">
        <v>0</v>
      </c>
      <c r="D60" s="47">
        <v>0</v>
      </c>
      <c r="F60" s="47">
        <v>0</v>
      </c>
      <c r="G60" s="89"/>
    </row>
    <row r="61" spans="1:7" ht="15" customHeight="1" x14ac:dyDescent="0.3">
      <c r="A61" s="89" t="s">
        <v>652</v>
      </c>
      <c r="B61" s="89" t="s">
        <v>100</v>
      </c>
      <c r="C61" s="47">
        <v>0</v>
      </c>
      <c r="D61" s="47">
        <v>0</v>
      </c>
      <c r="F61" s="47">
        <v>0</v>
      </c>
      <c r="G61" s="89"/>
    </row>
    <row r="62" spans="1:7" ht="15" customHeight="1" x14ac:dyDescent="0.3">
      <c r="A62" s="89" t="s">
        <v>653</v>
      </c>
      <c r="B62" s="89" t="s">
        <v>101</v>
      </c>
      <c r="C62" s="47">
        <v>0</v>
      </c>
      <c r="D62" s="47">
        <v>0</v>
      </c>
      <c r="F62" s="47">
        <v>0</v>
      </c>
      <c r="G62" s="89"/>
    </row>
    <row r="63" spans="1:7" ht="15" customHeight="1" x14ac:dyDescent="0.3">
      <c r="A63" s="89" t="s">
        <v>654</v>
      </c>
      <c r="B63" s="89" t="s">
        <v>102</v>
      </c>
      <c r="C63" s="47">
        <v>0</v>
      </c>
      <c r="D63" s="47">
        <v>0</v>
      </c>
      <c r="F63" s="47">
        <v>0</v>
      </c>
      <c r="G63" s="89"/>
    </row>
    <row r="64" spans="1:7" ht="15" customHeight="1" x14ac:dyDescent="0.3">
      <c r="A64" s="89" t="s">
        <v>655</v>
      </c>
      <c r="B64" s="89" t="s">
        <v>103</v>
      </c>
      <c r="C64" s="47">
        <v>0</v>
      </c>
      <c r="D64" s="47">
        <v>0</v>
      </c>
      <c r="F64" s="47">
        <v>0</v>
      </c>
      <c r="G64" s="89"/>
    </row>
    <row r="65" spans="1:7" ht="15" customHeight="1" x14ac:dyDescent="0.3">
      <c r="A65" s="89" t="s">
        <v>656</v>
      </c>
      <c r="B65" s="89" t="s">
        <v>105</v>
      </c>
      <c r="C65" s="47">
        <v>1</v>
      </c>
      <c r="D65" s="47">
        <v>1</v>
      </c>
      <c r="F65" s="47">
        <v>1</v>
      </c>
      <c r="G65" s="89"/>
    </row>
    <row r="66" spans="1:7" ht="15" customHeight="1" x14ac:dyDescent="0.3">
      <c r="A66" s="89" t="s">
        <v>657</v>
      </c>
      <c r="B66" s="89" t="s">
        <v>106</v>
      </c>
      <c r="C66" s="47">
        <v>0</v>
      </c>
      <c r="D66" s="47">
        <v>0</v>
      </c>
      <c r="F66" s="47">
        <v>0</v>
      </c>
      <c r="G66" s="89"/>
    </row>
    <row r="67" spans="1:7" ht="15" customHeight="1" x14ac:dyDescent="0.3">
      <c r="A67" s="89" t="s">
        <v>658</v>
      </c>
      <c r="B67" s="89" t="s">
        <v>107</v>
      </c>
      <c r="C67" s="47">
        <v>0</v>
      </c>
      <c r="D67" s="47">
        <v>0</v>
      </c>
      <c r="F67" s="47">
        <v>0</v>
      </c>
      <c r="G67" s="89"/>
    </row>
    <row r="68" spans="1:7" ht="15" customHeight="1" x14ac:dyDescent="0.3">
      <c r="A68" s="89" t="s">
        <v>659</v>
      </c>
      <c r="B68" s="89" t="s">
        <v>109</v>
      </c>
      <c r="C68" s="47">
        <v>0</v>
      </c>
      <c r="D68" s="47">
        <v>0</v>
      </c>
      <c r="F68" s="47">
        <v>0</v>
      </c>
      <c r="G68" s="89"/>
    </row>
    <row r="69" spans="1:7" ht="15" customHeight="1" x14ac:dyDescent="0.3">
      <c r="A69" s="89" t="s">
        <v>660</v>
      </c>
      <c r="B69" s="89" t="s">
        <v>110</v>
      </c>
      <c r="C69" s="47">
        <v>0</v>
      </c>
      <c r="D69" s="47">
        <v>0</v>
      </c>
      <c r="F69" s="47">
        <v>0</v>
      </c>
      <c r="G69" s="89"/>
    </row>
    <row r="70" spans="1:7" ht="15" customHeight="1" x14ac:dyDescent="0.3">
      <c r="A70" s="89" t="s">
        <v>661</v>
      </c>
      <c r="B70" s="89" t="s">
        <v>15</v>
      </c>
      <c r="C70" s="47">
        <v>0</v>
      </c>
      <c r="D70" s="47">
        <v>0</v>
      </c>
      <c r="F70" s="47">
        <v>0</v>
      </c>
      <c r="G70" s="89"/>
    </row>
    <row r="71" spans="1:7" ht="15" customHeight="1" x14ac:dyDescent="0.3">
      <c r="A71" s="89" t="s">
        <v>662</v>
      </c>
      <c r="B71" s="89" t="s">
        <v>108</v>
      </c>
      <c r="C71" s="47">
        <v>0</v>
      </c>
      <c r="D71" s="47">
        <v>0</v>
      </c>
      <c r="F71" s="47">
        <v>0</v>
      </c>
      <c r="G71" s="89"/>
    </row>
    <row r="72" spans="1:7" ht="15" customHeight="1" x14ac:dyDescent="0.3">
      <c r="A72" s="89" t="s">
        <v>663</v>
      </c>
      <c r="B72" s="89" t="s">
        <v>113</v>
      </c>
      <c r="C72" s="47">
        <v>0</v>
      </c>
      <c r="D72" s="47">
        <v>0</v>
      </c>
      <c r="F72" s="47">
        <v>0</v>
      </c>
      <c r="G72" s="89"/>
    </row>
    <row r="73" spans="1:7" ht="15" customHeight="1" x14ac:dyDescent="0.3">
      <c r="A73" s="89" t="s">
        <v>664</v>
      </c>
      <c r="B73" s="69" t="s">
        <v>115</v>
      </c>
      <c r="C73" s="117">
        <f>SUM(C74:C76)</f>
        <v>0</v>
      </c>
      <c r="D73" s="117">
        <f>SUM(D74:D76)</f>
        <v>0</v>
      </c>
      <c r="E73" s="69"/>
      <c r="F73" s="117">
        <f>SUM(F74:F76)</f>
        <v>0</v>
      </c>
      <c r="G73" s="89"/>
    </row>
    <row r="74" spans="1:7" ht="15" customHeight="1" x14ac:dyDescent="0.3">
      <c r="A74" s="89" t="s">
        <v>665</v>
      </c>
      <c r="B74" s="89" t="s">
        <v>116</v>
      </c>
      <c r="C74" s="47">
        <v>0</v>
      </c>
      <c r="D74" s="47">
        <v>0</v>
      </c>
      <c r="F74" s="47">
        <v>0</v>
      </c>
      <c r="G74" s="89"/>
    </row>
    <row r="75" spans="1:7" ht="15" customHeight="1" x14ac:dyDescent="0.3">
      <c r="A75" s="89" t="s">
        <v>666</v>
      </c>
      <c r="B75" s="89" t="s">
        <v>117</v>
      </c>
      <c r="C75" s="47">
        <v>0</v>
      </c>
      <c r="D75" s="47">
        <v>0</v>
      </c>
      <c r="F75" s="47">
        <v>0</v>
      </c>
      <c r="G75" s="89"/>
    </row>
    <row r="76" spans="1:7" ht="15" customHeight="1" x14ac:dyDescent="0.3">
      <c r="A76" s="89" t="s">
        <v>667</v>
      </c>
      <c r="B76" s="89" t="s">
        <v>118</v>
      </c>
      <c r="C76" s="47">
        <v>0</v>
      </c>
      <c r="D76" s="47">
        <v>0</v>
      </c>
      <c r="F76" s="47">
        <v>0</v>
      </c>
      <c r="G76" s="89"/>
    </row>
    <row r="77" spans="1:7" ht="15" customHeight="1" x14ac:dyDescent="0.3">
      <c r="A77" s="89" t="s">
        <v>668</v>
      </c>
      <c r="B77" s="69" t="s">
        <v>2</v>
      </c>
      <c r="C77" s="47">
        <f>SUM(C78:C87)</f>
        <v>0</v>
      </c>
      <c r="D77" s="47">
        <f>SUM(D78:D87)</f>
        <v>0</v>
      </c>
      <c r="F77" s="47">
        <f>SUM(F78:F87)</f>
        <v>0</v>
      </c>
      <c r="G77" s="89"/>
    </row>
    <row r="78" spans="1:7" ht="15" customHeight="1" x14ac:dyDescent="0.3">
      <c r="A78" s="89" t="s">
        <v>669</v>
      </c>
      <c r="B78" s="85" t="s">
        <v>119</v>
      </c>
      <c r="C78" s="47">
        <v>0</v>
      </c>
      <c r="D78" s="47">
        <v>0</v>
      </c>
      <c r="F78" s="47">
        <v>0</v>
      </c>
      <c r="G78" s="89"/>
    </row>
    <row r="79" spans="1:7" ht="15" customHeight="1" x14ac:dyDescent="0.3">
      <c r="A79" s="89" t="s">
        <v>670</v>
      </c>
      <c r="B79" s="85" t="s">
        <v>120</v>
      </c>
      <c r="C79" s="47">
        <v>0</v>
      </c>
      <c r="D79" s="47">
        <v>0</v>
      </c>
      <c r="F79" s="47">
        <v>0</v>
      </c>
      <c r="G79" s="89"/>
    </row>
    <row r="80" spans="1:7" ht="15" customHeight="1" x14ac:dyDescent="0.3">
      <c r="A80" s="89" t="s">
        <v>671</v>
      </c>
      <c r="B80" s="85" t="s">
        <v>141</v>
      </c>
      <c r="C80" s="47">
        <v>0</v>
      </c>
      <c r="D80" s="47">
        <v>0</v>
      </c>
      <c r="F80" s="47">
        <v>0</v>
      </c>
      <c r="G80" s="89"/>
    </row>
    <row r="81" spans="1:7" ht="15" customHeight="1" x14ac:dyDescent="0.3">
      <c r="A81" s="89" t="s">
        <v>672</v>
      </c>
      <c r="B81" s="85" t="s">
        <v>121</v>
      </c>
      <c r="C81" s="47">
        <v>0</v>
      </c>
      <c r="D81" s="47">
        <v>0</v>
      </c>
      <c r="F81" s="47">
        <v>0</v>
      </c>
      <c r="G81" s="89"/>
    </row>
    <row r="82" spans="1:7" ht="15" customHeight="1" x14ac:dyDescent="0.3">
      <c r="A82" s="89" t="s">
        <v>673</v>
      </c>
      <c r="B82" s="85" t="s">
        <v>122</v>
      </c>
      <c r="C82" s="47">
        <v>0</v>
      </c>
      <c r="D82" s="47">
        <v>0</v>
      </c>
      <c r="F82" s="47">
        <v>0</v>
      </c>
      <c r="G82" s="89"/>
    </row>
    <row r="83" spans="1:7" ht="15" customHeight="1" x14ac:dyDescent="0.3">
      <c r="A83" s="89" t="s">
        <v>674</v>
      </c>
      <c r="B83" s="85" t="s">
        <v>123</v>
      </c>
      <c r="C83" s="47">
        <v>0</v>
      </c>
      <c r="D83" s="47">
        <v>0</v>
      </c>
      <c r="F83" s="47">
        <v>0</v>
      </c>
      <c r="G83" s="89"/>
    </row>
    <row r="84" spans="1:7" ht="15" customHeight="1" x14ac:dyDescent="0.3">
      <c r="A84" s="89" t="s">
        <v>675</v>
      </c>
      <c r="B84" s="85" t="s">
        <v>124</v>
      </c>
      <c r="C84" s="47">
        <v>0</v>
      </c>
      <c r="D84" s="47">
        <v>0</v>
      </c>
      <c r="F84" s="47">
        <v>0</v>
      </c>
      <c r="G84" s="89"/>
    </row>
    <row r="85" spans="1:7" ht="15" customHeight="1" x14ac:dyDescent="0.3">
      <c r="A85" s="89" t="s">
        <v>676</v>
      </c>
      <c r="B85" s="85" t="s">
        <v>127</v>
      </c>
      <c r="C85" s="47">
        <v>0</v>
      </c>
      <c r="D85" s="47">
        <v>0</v>
      </c>
      <c r="F85" s="47">
        <v>0</v>
      </c>
      <c r="G85" s="89"/>
    </row>
    <row r="86" spans="1:7" ht="15" customHeight="1" x14ac:dyDescent="0.3">
      <c r="A86" s="89" t="s">
        <v>677</v>
      </c>
      <c r="B86" s="85" t="s">
        <v>125</v>
      </c>
      <c r="C86" s="47">
        <v>0</v>
      </c>
      <c r="D86" s="47">
        <v>0</v>
      </c>
      <c r="F86" s="47">
        <v>0</v>
      </c>
      <c r="G86" s="89"/>
    </row>
    <row r="87" spans="1:7" ht="15" customHeight="1" x14ac:dyDescent="0.3">
      <c r="A87" s="89" t="s">
        <v>678</v>
      </c>
      <c r="B87" s="85" t="s">
        <v>2</v>
      </c>
      <c r="C87" s="47">
        <v>0</v>
      </c>
      <c r="D87" s="47">
        <v>0</v>
      </c>
      <c r="F87" s="47">
        <v>0</v>
      </c>
      <c r="G87" s="89"/>
    </row>
    <row r="88" spans="1:7" ht="15" hidden="1" customHeight="1" outlineLevel="1" x14ac:dyDescent="0.3">
      <c r="A88" s="89" t="s">
        <v>986</v>
      </c>
      <c r="B88" s="66" t="s">
        <v>155</v>
      </c>
      <c r="C88" s="47"/>
      <c r="D88" s="47"/>
      <c r="F88" s="47"/>
      <c r="G88" s="89"/>
    </row>
    <row r="89" spans="1:7" ht="15" hidden="1" customHeight="1" outlineLevel="1" x14ac:dyDescent="0.3">
      <c r="A89" s="89" t="s">
        <v>987</v>
      </c>
      <c r="B89" s="66" t="s">
        <v>155</v>
      </c>
      <c r="C89" s="47"/>
      <c r="D89" s="47"/>
      <c r="F89" s="47"/>
      <c r="G89" s="89"/>
    </row>
    <row r="90" spans="1:7" ht="15" hidden="1" customHeight="1" outlineLevel="1" x14ac:dyDescent="0.3">
      <c r="A90" s="89" t="s">
        <v>988</v>
      </c>
      <c r="B90" s="66" t="s">
        <v>155</v>
      </c>
      <c r="C90" s="47"/>
      <c r="D90" s="47"/>
      <c r="F90" s="47"/>
      <c r="G90" s="89"/>
    </row>
    <row r="91" spans="1:7" ht="15" hidden="1" customHeight="1" outlineLevel="1" x14ac:dyDescent="0.3">
      <c r="A91" s="89" t="s">
        <v>989</v>
      </c>
      <c r="B91" s="66" t="s">
        <v>155</v>
      </c>
      <c r="C91" s="47"/>
      <c r="D91" s="47"/>
      <c r="F91" s="47"/>
      <c r="G91" s="89"/>
    </row>
    <row r="92" spans="1:7" ht="15" hidden="1" customHeight="1" outlineLevel="1" x14ac:dyDescent="0.3">
      <c r="A92" s="89" t="s">
        <v>990</v>
      </c>
      <c r="B92" s="66" t="s">
        <v>155</v>
      </c>
      <c r="C92" s="47"/>
      <c r="D92" s="47"/>
      <c r="F92" s="47"/>
      <c r="G92" s="89"/>
    </row>
    <row r="93" spans="1:7" ht="15" hidden="1" customHeight="1" outlineLevel="1" x14ac:dyDescent="0.3">
      <c r="A93" s="89" t="s">
        <v>991</v>
      </c>
      <c r="B93" s="66" t="s">
        <v>155</v>
      </c>
      <c r="C93" s="47"/>
      <c r="D93" s="47"/>
      <c r="F93" s="47"/>
      <c r="G93" s="89"/>
    </row>
    <row r="94" spans="1:7" ht="15" hidden="1" customHeight="1" outlineLevel="1" x14ac:dyDescent="0.3">
      <c r="A94" s="89" t="s">
        <v>992</v>
      </c>
      <c r="B94" s="66" t="s">
        <v>155</v>
      </c>
      <c r="C94" s="47"/>
      <c r="D94" s="47"/>
      <c r="F94" s="47"/>
      <c r="G94" s="89"/>
    </row>
    <row r="95" spans="1:7" ht="15" hidden="1" customHeight="1" outlineLevel="1" x14ac:dyDescent="0.3">
      <c r="A95" s="89" t="s">
        <v>993</v>
      </c>
      <c r="B95" s="66" t="s">
        <v>155</v>
      </c>
      <c r="C95" s="47"/>
      <c r="D95" s="47"/>
      <c r="F95" s="47"/>
      <c r="G95" s="89"/>
    </row>
    <row r="96" spans="1:7" ht="15" hidden="1" customHeight="1" outlineLevel="1" x14ac:dyDescent="0.3">
      <c r="A96" s="89" t="s">
        <v>994</v>
      </c>
      <c r="B96" s="66" t="s">
        <v>155</v>
      </c>
      <c r="C96" s="47"/>
      <c r="D96" s="47"/>
      <c r="F96" s="47"/>
      <c r="G96" s="89"/>
    </row>
    <row r="97" spans="1:7" ht="15" hidden="1" customHeight="1" outlineLevel="1" x14ac:dyDescent="0.3">
      <c r="A97" s="89" t="s">
        <v>995</v>
      </c>
      <c r="B97" s="66" t="s">
        <v>155</v>
      </c>
      <c r="C97" s="47"/>
      <c r="D97" s="47"/>
      <c r="F97" s="47"/>
      <c r="G97" s="89"/>
    </row>
    <row r="98" spans="1:7" ht="15" customHeight="1" collapsed="1" x14ac:dyDescent="0.3">
      <c r="A98" s="58"/>
      <c r="B98" s="60" t="s">
        <v>884</v>
      </c>
      <c r="C98" s="58" t="s">
        <v>144</v>
      </c>
      <c r="D98" s="58" t="s">
        <v>145</v>
      </c>
      <c r="E98" s="46"/>
      <c r="F98" s="59" t="s">
        <v>148</v>
      </c>
      <c r="G98" s="59"/>
    </row>
    <row r="99" spans="1:7" ht="15" customHeight="1" x14ac:dyDescent="0.3">
      <c r="A99" s="89" t="s">
        <v>679</v>
      </c>
      <c r="B99" s="119" t="s">
        <v>942</v>
      </c>
      <c r="C99" s="47">
        <f>416241564.16/C12</f>
        <v>9.7436360568577574E-2</v>
      </c>
      <c r="D99" s="47">
        <f>596613430.6/C13</f>
        <v>0.1591729712182641</v>
      </c>
      <c r="F99" s="47">
        <f t="shared" ref="F99:F114" si="1">(C99*$C$12+D99*$C$13)/$C$15</f>
        <v>0.1262889300227337</v>
      </c>
      <c r="G99" s="89"/>
    </row>
    <row r="100" spans="1:7" ht="15" customHeight="1" x14ac:dyDescent="0.3">
      <c r="A100" s="89" t="s">
        <v>680</v>
      </c>
      <c r="B100" s="119" t="s">
        <v>943</v>
      </c>
      <c r="C100" s="47">
        <f>118246468.07/C12</f>
        <v>2.7679853457403734E-2</v>
      </c>
      <c r="D100" s="47">
        <f>18147356.03/C13</f>
        <v>4.8416083696704859E-3</v>
      </c>
      <c r="F100" s="47">
        <f t="shared" si="1"/>
        <v>1.7006412760376909E-2</v>
      </c>
      <c r="G100" s="89"/>
    </row>
    <row r="101" spans="1:7" ht="15" customHeight="1" x14ac:dyDescent="0.3">
      <c r="A101" s="89" t="s">
        <v>681</v>
      </c>
      <c r="B101" s="119" t="s">
        <v>944</v>
      </c>
      <c r="C101" s="47">
        <f>96791285.06/C12</f>
        <v>2.2657493539921775E-2</v>
      </c>
      <c r="D101" s="47">
        <f>70322445.49/C13</f>
        <v>1.8761616849155983E-2</v>
      </c>
      <c r="F101" s="47">
        <f t="shared" si="1"/>
        <v>2.0836757810793784E-2</v>
      </c>
      <c r="G101" s="89"/>
    </row>
    <row r="102" spans="1:7" ht="15" customHeight="1" x14ac:dyDescent="0.3">
      <c r="A102" s="89" t="s">
        <v>682</v>
      </c>
      <c r="B102" s="119" t="s">
        <v>945</v>
      </c>
      <c r="C102" s="47">
        <f>36109520.22/C12</f>
        <v>8.4527364277389282E-3</v>
      </c>
      <c r="D102" s="47">
        <f>15920503.48/C13</f>
        <v>4.2474971434247047E-3</v>
      </c>
      <c r="F102" s="47">
        <f t="shared" si="1"/>
        <v>6.4874202685720654E-3</v>
      </c>
      <c r="G102" s="89"/>
    </row>
    <row r="103" spans="1:7" ht="15" customHeight="1" x14ac:dyDescent="0.3">
      <c r="A103" s="89" t="s">
        <v>683</v>
      </c>
      <c r="B103" s="119" t="s">
        <v>946</v>
      </c>
      <c r="C103" s="47">
        <f>192881577.03/C12</f>
        <v>4.5150894347751408E-2</v>
      </c>
      <c r="D103" s="47">
        <f>162530636.23/C13</f>
        <v>4.3362222430538659E-2</v>
      </c>
      <c r="F103" s="47">
        <f t="shared" si="1"/>
        <v>4.4314959556725729E-2</v>
      </c>
      <c r="G103" s="89"/>
    </row>
    <row r="104" spans="1:7" ht="15" customHeight="1" x14ac:dyDescent="0.3">
      <c r="A104" s="89" t="s">
        <v>684</v>
      </c>
      <c r="B104" s="119" t="s">
        <v>947</v>
      </c>
      <c r="C104" s="47">
        <f>428762293.87/C12</f>
        <v>0.10036728923993032</v>
      </c>
      <c r="D104" s="47">
        <f>350571320.15/C13</f>
        <v>9.3530376270722845E-2</v>
      </c>
      <c r="F104" s="47">
        <f t="shared" si="1"/>
        <v>9.7172061898808365E-2</v>
      </c>
      <c r="G104" s="89"/>
    </row>
    <row r="105" spans="1:7" ht="15" customHeight="1" x14ac:dyDescent="0.3">
      <c r="A105" s="89" t="s">
        <v>685</v>
      </c>
      <c r="B105" s="119" t="s">
        <v>948</v>
      </c>
      <c r="C105" s="47">
        <f>1750360225.82/C12</f>
        <v>0.40973498269465652</v>
      </c>
      <c r="D105" s="47">
        <f>1225114205.28/C13</f>
        <v>0.3268532991957756</v>
      </c>
      <c r="F105" s="47">
        <f t="shared" si="1"/>
        <v>0.37100027561463655</v>
      </c>
      <c r="G105" s="89"/>
    </row>
    <row r="106" spans="1:7" ht="15" customHeight="1" x14ac:dyDescent="0.3">
      <c r="A106" s="89" t="s">
        <v>686</v>
      </c>
      <c r="B106" s="119" t="s">
        <v>949</v>
      </c>
      <c r="C106" s="47">
        <f>32708651.21/C12</f>
        <v>7.6566402959804816E-3</v>
      </c>
      <c r="D106" s="47">
        <f>47175017.2/C13</f>
        <v>1.2586018466672972E-2</v>
      </c>
      <c r="F106" s="47">
        <f t="shared" si="1"/>
        <v>9.9603823469125944E-3</v>
      </c>
      <c r="G106" s="89"/>
    </row>
    <row r="107" spans="1:7" ht="15" customHeight="1" x14ac:dyDescent="0.3">
      <c r="A107" s="89" t="s">
        <v>687</v>
      </c>
      <c r="B107" s="119" t="s">
        <v>950</v>
      </c>
      <c r="C107" s="47">
        <f>33431624.4/C12</f>
        <v>7.8258782637562717E-3</v>
      </c>
      <c r="D107" s="47">
        <f>184476043.31/C13</f>
        <v>4.9217128589799916E-2</v>
      </c>
      <c r="F107" s="47">
        <f t="shared" si="1"/>
        <v>2.7170055280584478E-2</v>
      </c>
      <c r="G107" s="89"/>
    </row>
    <row r="108" spans="1:7" ht="15" customHeight="1" x14ac:dyDescent="0.3">
      <c r="A108" s="89" t="s">
        <v>688</v>
      </c>
      <c r="B108" s="119" t="s">
        <v>951</v>
      </c>
      <c r="C108" s="47">
        <f>42223691.22/C12</f>
        <v>9.8839788154043307E-3</v>
      </c>
      <c r="D108" s="47">
        <f>2814852.75/C13</f>
        <v>7.5098623795446541E-4</v>
      </c>
      <c r="F108" s="47">
        <f t="shared" si="1"/>
        <v>5.6156799908963356E-3</v>
      </c>
      <c r="G108" s="89"/>
    </row>
    <row r="109" spans="1:7" ht="15" customHeight="1" x14ac:dyDescent="0.3">
      <c r="A109" s="89" t="s">
        <v>689</v>
      </c>
      <c r="B109" s="119" t="s">
        <v>952</v>
      </c>
      <c r="C109" s="47">
        <f>353096367.1/C12</f>
        <v>8.2654948238147688E-2</v>
      </c>
      <c r="D109" s="47">
        <f>192307499.9/C13</f>
        <v>5.1306515369349152E-2</v>
      </c>
      <c r="F109" s="47">
        <f t="shared" si="1"/>
        <v>6.8004276179743167E-2</v>
      </c>
      <c r="G109" s="89"/>
    </row>
    <row r="110" spans="1:7" ht="15" customHeight="1" x14ac:dyDescent="0.3">
      <c r="A110" s="89" t="s">
        <v>690</v>
      </c>
      <c r="B110" s="119" t="s">
        <v>953</v>
      </c>
      <c r="C110" s="47">
        <f>195394302.12/C12</f>
        <v>4.5739088341239381E-2</v>
      </c>
      <c r="D110" s="47">
        <f>332498661.37/C13</f>
        <v>8.8708696690138422E-2</v>
      </c>
      <c r="F110" s="47">
        <f t="shared" si="1"/>
        <v>6.5820910071613115E-2</v>
      </c>
      <c r="G110" s="89"/>
    </row>
    <row r="111" spans="1:7" ht="15" customHeight="1" x14ac:dyDescent="0.3">
      <c r="A111" s="89" t="s">
        <v>691</v>
      </c>
      <c r="B111" s="119" t="s">
        <v>954</v>
      </c>
      <c r="C111" s="47">
        <f>23206852.07/C12</f>
        <v>5.4324012800532739E-3</v>
      </c>
      <c r="D111" s="47">
        <f>62082619.41/C13</f>
        <v>1.6563279479921204E-2</v>
      </c>
      <c r="F111" s="47">
        <f t="shared" si="1"/>
        <v>1.0634410800300116E-2</v>
      </c>
      <c r="G111" s="89"/>
    </row>
    <row r="112" spans="1:7" ht="15" customHeight="1" x14ac:dyDescent="0.3">
      <c r="A112" s="89" t="s">
        <v>692</v>
      </c>
      <c r="B112" s="119" t="s">
        <v>955</v>
      </c>
      <c r="C112" s="47">
        <f>51390193.87/C12</f>
        <v>1.2029729586739847E-2</v>
      </c>
      <c r="D112" s="47">
        <f>27007332.42/C13</f>
        <v>7.2053982117826479E-3</v>
      </c>
      <c r="F112" s="47">
        <f t="shared" si="1"/>
        <v>9.7750810953341396E-3</v>
      </c>
      <c r="G112" s="89"/>
    </row>
    <row r="113" spans="1:7" ht="15" customHeight="1" x14ac:dyDescent="0.3">
      <c r="A113" s="89" t="s">
        <v>693</v>
      </c>
      <c r="B113" s="119" t="s">
        <v>956</v>
      </c>
      <c r="C113" s="47">
        <f>314113089.35/C12</f>
        <v>7.3529505144401444E-2</v>
      </c>
      <c r="D113" s="47">
        <f>366446041.69/C13</f>
        <v>9.7765659060523966E-2</v>
      </c>
      <c r="F113" s="47">
        <f t="shared" si="1"/>
        <v>8.485625772779895E-2</v>
      </c>
      <c r="G113" s="89"/>
    </row>
    <row r="114" spans="1:7" ht="15" customHeight="1" x14ac:dyDescent="0.3">
      <c r="A114" s="89" t="s">
        <v>694</v>
      </c>
      <c r="B114" s="119" t="s">
        <v>957</v>
      </c>
      <c r="C114" s="47">
        <f>186974884.39/C12</f>
        <v>4.3768219758296964E-2</v>
      </c>
      <c r="D114" s="47">
        <f>94180201.15/C13</f>
        <v>2.512672641630484E-2</v>
      </c>
      <c r="F114" s="47">
        <f t="shared" si="1"/>
        <v>3.5056128574169926E-2</v>
      </c>
      <c r="G114" s="89"/>
    </row>
    <row r="115" spans="1:7" ht="15" hidden="1" customHeight="1" x14ac:dyDescent="0.3">
      <c r="A115" s="89" t="s">
        <v>996</v>
      </c>
      <c r="B115" s="85" t="s">
        <v>87</v>
      </c>
      <c r="C115" s="47" t="s">
        <v>54</v>
      </c>
      <c r="D115" s="47" t="s">
        <v>54</v>
      </c>
      <c r="F115" s="47" t="s">
        <v>54</v>
      </c>
      <c r="G115" s="89"/>
    </row>
    <row r="116" spans="1:7" ht="15" hidden="1" customHeight="1" x14ac:dyDescent="0.3">
      <c r="A116" s="89" t="s">
        <v>997</v>
      </c>
      <c r="B116" s="85" t="s">
        <v>87</v>
      </c>
      <c r="C116" s="47" t="s">
        <v>54</v>
      </c>
      <c r="D116" s="47" t="s">
        <v>54</v>
      </c>
      <c r="F116" s="47" t="s">
        <v>54</v>
      </c>
      <c r="G116" s="89"/>
    </row>
    <row r="117" spans="1:7" ht="15" hidden="1" customHeight="1" x14ac:dyDescent="0.3">
      <c r="A117" s="89" t="s">
        <v>998</v>
      </c>
      <c r="B117" s="85" t="s">
        <v>87</v>
      </c>
      <c r="C117" s="47" t="s">
        <v>54</v>
      </c>
      <c r="D117" s="47" t="s">
        <v>54</v>
      </c>
      <c r="F117" s="47" t="s">
        <v>54</v>
      </c>
      <c r="G117" s="89"/>
    </row>
    <row r="118" spans="1:7" ht="15" hidden="1" customHeight="1" x14ac:dyDescent="0.3">
      <c r="A118" s="89" t="s">
        <v>999</v>
      </c>
      <c r="B118" s="85" t="s">
        <v>87</v>
      </c>
      <c r="C118" s="47" t="s">
        <v>54</v>
      </c>
      <c r="D118" s="47" t="s">
        <v>54</v>
      </c>
      <c r="F118" s="47" t="s">
        <v>54</v>
      </c>
      <c r="G118" s="89"/>
    </row>
    <row r="119" spans="1:7" ht="15" hidden="1" customHeight="1" x14ac:dyDescent="0.3">
      <c r="A119" s="89" t="s">
        <v>1000</v>
      </c>
      <c r="B119" s="85" t="s">
        <v>87</v>
      </c>
      <c r="C119" s="47" t="s">
        <v>54</v>
      </c>
      <c r="D119" s="47" t="s">
        <v>54</v>
      </c>
      <c r="F119" s="47" t="s">
        <v>54</v>
      </c>
      <c r="G119" s="89"/>
    </row>
    <row r="120" spans="1:7" ht="15" hidden="1" customHeight="1" x14ac:dyDescent="0.3">
      <c r="A120" s="89" t="s">
        <v>1001</v>
      </c>
      <c r="B120" s="85" t="s">
        <v>87</v>
      </c>
      <c r="C120" s="47" t="s">
        <v>54</v>
      </c>
      <c r="D120" s="47" t="s">
        <v>54</v>
      </c>
      <c r="F120" s="47" t="s">
        <v>54</v>
      </c>
      <c r="G120" s="89"/>
    </row>
    <row r="121" spans="1:7" ht="15" hidden="1" customHeight="1" x14ac:dyDescent="0.3">
      <c r="A121" s="89" t="s">
        <v>1002</v>
      </c>
      <c r="B121" s="85" t="s">
        <v>87</v>
      </c>
      <c r="C121" s="47" t="s">
        <v>54</v>
      </c>
      <c r="D121" s="47" t="s">
        <v>54</v>
      </c>
      <c r="F121" s="47" t="s">
        <v>54</v>
      </c>
      <c r="G121" s="89"/>
    </row>
    <row r="122" spans="1:7" ht="15" hidden="1" customHeight="1" x14ac:dyDescent="0.3">
      <c r="A122" s="89" t="s">
        <v>1003</v>
      </c>
      <c r="B122" s="85" t="s">
        <v>87</v>
      </c>
      <c r="C122" s="47" t="s">
        <v>54</v>
      </c>
      <c r="D122" s="47" t="s">
        <v>54</v>
      </c>
      <c r="F122" s="47" t="s">
        <v>54</v>
      </c>
      <c r="G122" s="89"/>
    </row>
    <row r="123" spans="1:7" ht="15" hidden="1" customHeight="1" x14ac:dyDescent="0.3">
      <c r="A123" s="89" t="s">
        <v>1004</v>
      </c>
      <c r="B123" s="85" t="s">
        <v>87</v>
      </c>
      <c r="C123" s="47" t="s">
        <v>54</v>
      </c>
      <c r="D123" s="47" t="s">
        <v>54</v>
      </c>
      <c r="F123" s="47" t="s">
        <v>54</v>
      </c>
      <c r="G123" s="89"/>
    </row>
    <row r="124" spans="1:7" ht="15" hidden="1" customHeight="1" x14ac:dyDescent="0.3">
      <c r="A124" s="89" t="s">
        <v>1005</v>
      </c>
      <c r="B124" s="85" t="s">
        <v>87</v>
      </c>
      <c r="C124" s="47" t="s">
        <v>54</v>
      </c>
      <c r="D124" s="47" t="s">
        <v>54</v>
      </c>
      <c r="F124" s="47" t="s">
        <v>54</v>
      </c>
      <c r="G124" s="89"/>
    </row>
    <row r="125" spans="1:7" ht="15" hidden="1" customHeight="1" x14ac:dyDescent="0.3">
      <c r="A125" s="89" t="s">
        <v>1006</v>
      </c>
      <c r="B125" s="85" t="s">
        <v>87</v>
      </c>
      <c r="C125" s="47" t="s">
        <v>54</v>
      </c>
      <c r="D125" s="47" t="s">
        <v>54</v>
      </c>
      <c r="F125" s="47" t="s">
        <v>54</v>
      </c>
      <c r="G125" s="89"/>
    </row>
    <row r="126" spans="1:7" ht="15" hidden="1" customHeight="1" x14ac:dyDescent="0.3">
      <c r="A126" s="89" t="s">
        <v>1007</v>
      </c>
      <c r="B126" s="85" t="s">
        <v>87</v>
      </c>
      <c r="C126" s="47" t="s">
        <v>54</v>
      </c>
      <c r="D126" s="47" t="s">
        <v>54</v>
      </c>
      <c r="F126" s="47" t="s">
        <v>54</v>
      </c>
      <c r="G126" s="89"/>
    </row>
    <row r="127" spans="1:7" ht="15" hidden="1" customHeight="1" x14ac:dyDescent="0.3">
      <c r="A127" s="89" t="s">
        <v>1008</v>
      </c>
      <c r="B127" s="85" t="s">
        <v>87</v>
      </c>
      <c r="C127" s="47" t="s">
        <v>54</v>
      </c>
      <c r="D127" s="47" t="s">
        <v>54</v>
      </c>
      <c r="F127" s="47" t="s">
        <v>54</v>
      </c>
      <c r="G127" s="89"/>
    </row>
    <row r="128" spans="1:7" ht="15" hidden="1" customHeight="1" x14ac:dyDescent="0.3">
      <c r="A128" s="89" t="s">
        <v>1009</v>
      </c>
      <c r="B128" s="85" t="s">
        <v>87</v>
      </c>
      <c r="C128" s="47" t="s">
        <v>54</v>
      </c>
      <c r="D128" s="47" t="s">
        <v>54</v>
      </c>
      <c r="F128" s="47" t="s">
        <v>54</v>
      </c>
      <c r="G128" s="89"/>
    </row>
    <row r="129" spans="1:7" ht="15" hidden="1" customHeight="1" x14ac:dyDescent="0.3">
      <c r="A129" s="89" t="s">
        <v>1010</v>
      </c>
      <c r="B129" s="85" t="s">
        <v>87</v>
      </c>
      <c r="C129" s="47" t="s">
        <v>54</v>
      </c>
      <c r="D129" s="47" t="s">
        <v>54</v>
      </c>
      <c r="F129" s="47" t="s">
        <v>54</v>
      </c>
      <c r="G129" s="89"/>
    </row>
    <row r="130" spans="1:7" ht="15" customHeight="1" x14ac:dyDescent="0.3">
      <c r="A130" s="58"/>
      <c r="B130" s="60" t="s">
        <v>885</v>
      </c>
      <c r="C130" s="58" t="s">
        <v>144</v>
      </c>
      <c r="D130" s="58" t="s">
        <v>145</v>
      </c>
      <c r="E130" s="46"/>
      <c r="F130" s="59" t="s">
        <v>148</v>
      </c>
      <c r="G130" s="59"/>
    </row>
    <row r="131" spans="1:7" ht="15" customHeight="1" x14ac:dyDescent="0.3">
      <c r="A131" s="89" t="s">
        <v>695</v>
      </c>
      <c r="B131" s="89" t="s">
        <v>33</v>
      </c>
      <c r="C131" s="47">
        <f>0/C12</f>
        <v>0</v>
      </c>
      <c r="D131" s="47">
        <f>0/C13</f>
        <v>0</v>
      </c>
      <c r="E131" s="52"/>
      <c r="F131" s="47">
        <f>(C131*C12+D131*C13)/$C$15</f>
        <v>0</v>
      </c>
      <c r="G131" s="111"/>
    </row>
    <row r="132" spans="1:7" ht="15" customHeight="1" x14ac:dyDescent="0.3">
      <c r="A132" s="89" t="s">
        <v>696</v>
      </c>
      <c r="B132" s="89" t="s">
        <v>34</v>
      </c>
      <c r="C132" s="47">
        <f>4271932589.96/C12</f>
        <v>1</v>
      </c>
      <c r="D132" s="47">
        <f>3748208166.46/C13</f>
        <v>1</v>
      </c>
      <c r="E132" s="52"/>
      <c r="F132" s="47">
        <f>(C132*C12+D132*C13)/C15</f>
        <v>1</v>
      </c>
    </row>
    <row r="133" spans="1:7" ht="15" customHeight="1" x14ac:dyDescent="0.3">
      <c r="A133" s="89" t="s">
        <v>697</v>
      </c>
      <c r="B133" s="89" t="s">
        <v>2</v>
      </c>
      <c r="C133" s="47">
        <v>0</v>
      </c>
      <c r="D133" s="47">
        <v>0</v>
      </c>
      <c r="E133" s="52"/>
      <c r="F133" s="47">
        <v>0</v>
      </c>
    </row>
    <row r="134" spans="1:7" ht="15" hidden="1" customHeight="1" outlineLevel="1" x14ac:dyDescent="0.3">
      <c r="A134" s="89" t="s">
        <v>698</v>
      </c>
      <c r="C134" s="47"/>
      <c r="D134" s="47"/>
      <c r="E134" s="52"/>
      <c r="F134" s="47"/>
    </row>
    <row r="135" spans="1:7" ht="15" hidden="1" customHeight="1" outlineLevel="1" x14ac:dyDescent="0.3">
      <c r="A135" s="89" t="s">
        <v>699</v>
      </c>
      <c r="C135" s="47"/>
      <c r="D135" s="47"/>
      <c r="E135" s="52"/>
      <c r="F135" s="47"/>
    </row>
    <row r="136" spans="1:7" ht="15" hidden="1" customHeight="1" outlineLevel="1" x14ac:dyDescent="0.3">
      <c r="A136" s="89" t="s">
        <v>700</v>
      </c>
      <c r="C136" s="47"/>
      <c r="D136" s="47"/>
      <c r="E136" s="52"/>
      <c r="F136" s="47"/>
    </row>
    <row r="137" spans="1:7" ht="15" hidden="1" customHeight="1" outlineLevel="1" x14ac:dyDescent="0.3">
      <c r="A137" s="89" t="s">
        <v>701</v>
      </c>
      <c r="C137" s="47"/>
      <c r="D137" s="47"/>
      <c r="E137" s="52"/>
      <c r="F137" s="47"/>
    </row>
    <row r="138" spans="1:7" ht="15" hidden="1" customHeight="1" outlineLevel="1" x14ac:dyDescent="0.3">
      <c r="A138" s="89" t="s">
        <v>702</v>
      </c>
      <c r="C138" s="47"/>
      <c r="D138" s="47"/>
      <c r="E138" s="52"/>
      <c r="F138" s="47"/>
    </row>
    <row r="139" spans="1:7" ht="15" hidden="1" customHeight="1" outlineLevel="1" x14ac:dyDescent="0.3">
      <c r="A139" s="89" t="s">
        <v>703</v>
      </c>
      <c r="C139" s="47"/>
      <c r="D139" s="47"/>
      <c r="E139" s="52"/>
      <c r="F139" s="47"/>
    </row>
    <row r="140" spans="1:7" ht="15" customHeight="1" collapsed="1" x14ac:dyDescent="0.3">
      <c r="A140" s="58"/>
      <c r="B140" s="60" t="s">
        <v>886</v>
      </c>
      <c r="C140" s="58" t="s">
        <v>144</v>
      </c>
      <c r="D140" s="58" t="s">
        <v>145</v>
      </c>
      <c r="E140" s="46"/>
      <c r="F140" s="59" t="s">
        <v>148</v>
      </c>
      <c r="G140" s="59"/>
    </row>
    <row r="141" spans="1:7" ht="15" customHeight="1" x14ac:dyDescent="0.3">
      <c r="A141" s="89" t="s">
        <v>704</v>
      </c>
      <c r="B141" s="89" t="s">
        <v>37</v>
      </c>
      <c r="C141" s="47">
        <f>0/C12</f>
        <v>0</v>
      </c>
      <c r="D141" s="47">
        <f>0/C13</f>
        <v>0</v>
      </c>
      <c r="E141" s="52"/>
      <c r="F141" s="47">
        <f t="shared" ref="F141:F146" si="2">(C141*$C$12+D141*$C$13)/$C$15</f>
        <v>0</v>
      </c>
    </row>
    <row r="142" spans="1:7" ht="15" customHeight="1" x14ac:dyDescent="0.3">
      <c r="A142" s="89" t="s">
        <v>705</v>
      </c>
      <c r="B142" s="89" t="s">
        <v>13</v>
      </c>
      <c r="C142" s="47">
        <f>278347390.58/C12</f>
        <v>6.5157252535814544E-2</v>
      </c>
      <c r="D142" s="47">
        <f>946861318.77/C13</f>
        <v>0.25261705772981768</v>
      </c>
      <c r="E142" s="52"/>
      <c r="F142" s="47">
        <f t="shared" si="2"/>
        <v>0.15276648459931816</v>
      </c>
    </row>
    <row r="143" spans="1:7" ht="15" customHeight="1" x14ac:dyDescent="0.3">
      <c r="A143" s="89" t="s">
        <v>706</v>
      </c>
      <c r="B143" s="89" t="s">
        <v>2</v>
      </c>
      <c r="C143" s="47">
        <f>SUM(C144:C146)</f>
        <v>0.9348427474641855</v>
      </c>
      <c r="D143" s="47">
        <f>SUM(D144:D146)</f>
        <v>0.74738294227018232</v>
      </c>
      <c r="E143" s="52"/>
      <c r="F143" s="47">
        <f t="shared" si="2"/>
        <v>0.84723351540068181</v>
      </c>
    </row>
    <row r="144" spans="1:7" ht="15" hidden="1" customHeight="1" outlineLevel="1" x14ac:dyDescent="0.3">
      <c r="A144" s="89" t="s">
        <v>707</v>
      </c>
      <c r="B144" s="110" t="s">
        <v>971</v>
      </c>
      <c r="C144" s="47">
        <f>0/C12</f>
        <v>0</v>
      </c>
      <c r="D144" s="47">
        <f>1558126557.88/C13</f>
        <v>0.41569904569936805</v>
      </c>
      <c r="E144" s="52"/>
      <c r="F144" s="47">
        <f t="shared" si="2"/>
        <v>0.19427670974885866</v>
      </c>
    </row>
    <row r="145" spans="1:7" ht="15" hidden="1" customHeight="1" outlineLevel="1" x14ac:dyDescent="0.3">
      <c r="A145" s="89" t="s">
        <v>708</v>
      </c>
      <c r="B145" s="110" t="s">
        <v>974</v>
      </c>
      <c r="C145" s="47">
        <f>0/C12</f>
        <v>0</v>
      </c>
      <c r="D145" s="47">
        <f>0/C13</f>
        <v>0</v>
      </c>
      <c r="E145" s="52"/>
      <c r="F145" s="47">
        <f t="shared" si="2"/>
        <v>0</v>
      </c>
    </row>
    <row r="146" spans="1:7" ht="15" hidden="1" customHeight="1" outlineLevel="1" x14ac:dyDescent="0.3">
      <c r="A146" s="89" t="s">
        <v>709</v>
      </c>
      <c r="B146" s="110" t="s">
        <v>970</v>
      </c>
      <c r="C146" s="47">
        <f>3993585199.38/C12</f>
        <v>0.9348427474641855</v>
      </c>
      <c r="D146" s="47">
        <f>1243220289.81/C13</f>
        <v>0.33168389657081426</v>
      </c>
      <c r="E146" s="52"/>
      <c r="F146" s="47">
        <f t="shared" si="2"/>
        <v>0.65295680565182324</v>
      </c>
    </row>
    <row r="147" spans="1:7" ht="15" hidden="1" customHeight="1" outlineLevel="1" x14ac:dyDescent="0.3">
      <c r="A147" s="89" t="s">
        <v>710</v>
      </c>
      <c r="C147" s="47"/>
      <c r="D147" s="47"/>
      <c r="E147" s="52"/>
      <c r="F147" s="47"/>
    </row>
    <row r="148" spans="1:7" ht="15" hidden="1" customHeight="1" outlineLevel="1" x14ac:dyDescent="0.3">
      <c r="A148" s="89" t="s">
        <v>711</v>
      </c>
      <c r="C148" s="47"/>
      <c r="D148" s="47"/>
      <c r="E148" s="52"/>
      <c r="F148" s="47"/>
    </row>
    <row r="149" spans="1:7" ht="15" hidden="1" customHeight="1" outlineLevel="1" x14ac:dyDescent="0.3">
      <c r="A149" s="89" t="s">
        <v>712</v>
      </c>
      <c r="C149" s="47"/>
      <c r="D149" s="47"/>
      <c r="E149" s="52"/>
      <c r="F149" s="47"/>
    </row>
    <row r="150" spans="1:7" ht="15" customHeight="1" collapsed="1" x14ac:dyDescent="0.3">
      <c r="A150" s="58"/>
      <c r="B150" s="60" t="s">
        <v>887</v>
      </c>
      <c r="C150" s="58" t="s">
        <v>144</v>
      </c>
      <c r="D150" s="58" t="s">
        <v>145</v>
      </c>
      <c r="E150" s="46"/>
      <c r="F150" s="59" t="s">
        <v>148</v>
      </c>
      <c r="G150" s="59"/>
    </row>
    <row r="151" spans="1:7" ht="15" customHeight="1" x14ac:dyDescent="0.3">
      <c r="A151" s="89" t="s">
        <v>713</v>
      </c>
      <c r="B151" s="7" t="s">
        <v>61</v>
      </c>
      <c r="C151" s="47">
        <f>846593775.49/C12</f>
        <v>0.19817582737136005</v>
      </c>
      <c r="D151" s="47">
        <f>101221039.25/C13</f>
        <v>2.7005180810327923E-2</v>
      </c>
      <c r="E151" s="52"/>
      <c r="F151" s="47">
        <f>(C151*C12+D151*C13)/$C$15</f>
        <v>0.11817932421962654</v>
      </c>
    </row>
    <row r="152" spans="1:7" ht="15" customHeight="1" x14ac:dyDescent="0.3">
      <c r="A152" s="89" t="s">
        <v>714</v>
      </c>
      <c r="B152" s="7" t="s">
        <v>18</v>
      </c>
      <c r="C152" s="47">
        <f>1551026474.21/C12</f>
        <v>0.36307372402253263</v>
      </c>
      <c r="D152" s="47">
        <f>1174324456.15/C13</f>
        <v>0.31330289140773426</v>
      </c>
      <c r="E152" s="52"/>
      <c r="F152" s="47">
        <f>(C152*C12+D152*C13)/$C$15</f>
        <v>0.33981335404598706</v>
      </c>
    </row>
    <row r="153" spans="1:7" ht="15" customHeight="1" x14ac:dyDescent="0.3">
      <c r="A153" s="89" t="s">
        <v>715</v>
      </c>
      <c r="B153" s="7" t="s">
        <v>19</v>
      </c>
      <c r="C153" s="47">
        <f>1651276499.58/C12</f>
        <v>0.38654086056059739</v>
      </c>
      <c r="D153" s="47">
        <f>733408347.05/C13</f>
        <v>0.19566905424643702</v>
      </c>
      <c r="F153" s="47">
        <f>(C153*C12+D153*C13)/$C$15</f>
        <v>0.29733703173739146</v>
      </c>
    </row>
    <row r="154" spans="1:7" ht="15" customHeight="1" x14ac:dyDescent="0.3">
      <c r="A154" s="89" t="s">
        <v>716</v>
      </c>
      <c r="B154" s="7" t="s">
        <v>20</v>
      </c>
      <c r="C154" s="47">
        <f>202940418.7/C12</f>
        <v>4.7505529271916765E-2</v>
      </c>
      <c r="D154" s="47">
        <f>486119841.89/C13</f>
        <v>0.12969392848559863</v>
      </c>
      <c r="F154" s="47">
        <f>(C154*C12+D154*C13)/$C$15</f>
        <v>8.5916230340273986E-2</v>
      </c>
    </row>
    <row r="155" spans="1:7" ht="15" customHeight="1" x14ac:dyDescent="0.3">
      <c r="A155" s="89" t="s">
        <v>717</v>
      </c>
      <c r="B155" s="7" t="s">
        <v>21</v>
      </c>
      <c r="C155" s="47">
        <f>20095421.98/C12</f>
        <v>4.7040587735931857E-3</v>
      </c>
      <c r="D155" s="47">
        <f>1253134482.12/C13</f>
        <v>0.33432894504990218</v>
      </c>
      <c r="F155" s="47">
        <f>(C155*C12+D155*C13)/$C$15</f>
        <v>0.15875405965672096</v>
      </c>
    </row>
    <row r="156" spans="1:7" ht="15" hidden="1" customHeight="1" outlineLevel="1" x14ac:dyDescent="0.3">
      <c r="A156" s="89" t="s">
        <v>718</v>
      </c>
      <c r="B156" s="7"/>
      <c r="C156" s="47"/>
      <c r="D156" s="47"/>
      <c r="F156" s="47"/>
    </row>
    <row r="157" spans="1:7" ht="15" hidden="1" customHeight="1" outlineLevel="1" x14ac:dyDescent="0.3">
      <c r="A157" s="89" t="s">
        <v>719</v>
      </c>
      <c r="B157" s="7"/>
      <c r="C157" s="47"/>
      <c r="D157" s="47"/>
      <c r="F157" s="47"/>
    </row>
    <row r="158" spans="1:7" ht="15" hidden="1" customHeight="1" outlineLevel="1" x14ac:dyDescent="0.3">
      <c r="A158" s="89" t="s">
        <v>720</v>
      </c>
      <c r="B158" s="7"/>
      <c r="C158" s="47"/>
      <c r="D158" s="47"/>
      <c r="F158" s="47"/>
    </row>
    <row r="159" spans="1:7" ht="15" hidden="1" customHeight="1" outlineLevel="1" x14ac:dyDescent="0.3">
      <c r="A159" s="89" t="s">
        <v>721</v>
      </c>
      <c r="B159" s="7"/>
      <c r="C159" s="47"/>
      <c r="D159" s="47"/>
      <c r="F159" s="47"/>
    </row>
    <row r="160" spans="1:7" ht="15" customHeight="1" collapsed="1" x14ac:dyDescent="0.3">
      <c r="A160" s="58"/>
      <c r="B160" s="60" t="s">
        <v>888</v>
      </c>
      <c r="C160" s="58" t="s">
        <v>144</v>
      </c>
      <c r="D160" s="58" t="s">
        <v>145</v>
      </c>
      <c r="E160" s="46"/>
      <c r="F160" s="59" t="s">
        <v>148</v>
      </c>
      <c r="G160" s="59"/>
    </row>
    <row r="161" spans="1:7" ht="15" customHeight="1" x14ac:dyDescent="0.3">
      <c r="A161" s="89" t="s">
        <v>722</v>
      </c>
      <c r="B161" s="89" t="s">
        <v>88</v>
      </c>
      <c r="C161" s="47">
        <f>216439.22/C12</f>
        <v>5.0665410898262E-5</v>
      </c>
      <c r="D161" s="47">
        <f>0/C12</f>
        <v>0</v>
      </c>
      <c r="E161" s="52"/>
      <c r="F161" s="47">
        <f>(216439.22+0)/$C$15</f>
        <v>2.6986960275821058E-5</v>
      </c>
    </row>
    <row r="162" spans="1:7" ht="15" hidden="1" customHeight="1" outlineLevel="1" x14ac:dyDescent="0.3">
      <c r="A162" s="89" t="s">
        <v>723</v>
      </c>
      <c r="C162" s="47"/>
      <c r="D162" s="47"/>
      <c r="E162" s="52"/>
      <c r="F162" s="47"/>
    </row>
    <row r="163" spans="1:7" ht="15" hidden="1" customHeight="1" outlineLevel="1" x14ac:dyDescent="0.3">
      <c r="A163" s="89" t="s">
        <v>724</v>
      </c>
      <c r="C163" s="47"/>
      <c r="D163" s="47"/>
      <c r="E163" s="52"/>
      <c r="F163" s="47"/>
    </row>
    <row r="164" spans="1:7" ht="15" hidden="1" customHeight="1" outlineLevel="1" x14ac:dyDescent="0.3">
      <c r="A164" s="89" t="s">
        <v>725</v>
      </c>
      <c r="C164" s="47"/>
      <c r="D164" s="47"/>
      <c r="E164" s="52"/>
      <c r="F164" s="47"/>
    </row>
    <row r="165" spans="1:7" ht="15" hidden="1" customHeight="1" outlineLevel="1" x14ac:dyDescent="0.3">
      <c r="A165" s="89" t="s">
        <v>726</v>
      </c>
      <c r="C165" s="47"/>
      <c r="D165" s="47"/>
      <c r="E165" s="52"/>
      <c r="F165" s="47"/>
    </row>
    <row r="166" spans="1:7" ht="15" customHeight="1" collapsed="1" x14ac:dyDescent="0.3">
      <c r="A166" s="37"/>
      <c r="B166" s="40" t="s">
        <v>220</v>
      </c>
      <c r="C166" s="109"/>
      <c r="D166" s="37"/>
      <c r="E166" s="37"/>
      <c r="F166" s="38"/>
      <c r="G166" s="38"/>
    </row>
    <row r="167" spans="1:7" ht="15" customHeight="1" x14ac:dyDescent="0.3">
      <c r="A167" s="58"/>
      <c r="B167" s="60" t="s">
        <v>889</v>
      </c>
      <c r="C167" s="58" t="s">
        <v>152</v>
      </c>
      <c r="D167" s="58" t="s">
        <v>57</v>
      </c>
      <c r="E167" s="46"/>
      <c r="F167" s="58" t="s">
        <v>144</v>
      </c>
      <c r="G167" s="58" t="s">
        <v>150</v>
      </c>
    </row>
    <row r="168" spans="1:7" ht="15" customHeight="1" x14ac:dyDescent="0.3">
      <c r="A168" s="89" t="s">
        <v>727</v>
      </c>
      <c r="B168" s="85" t="s">
        <v>89</v>
      </c>
      <c r="C168" s="112">
        <f>C12/C28</f>
        <v>251971.95882741536</v>
      </c>
      <c r="D168" s="126">
        <f>C28</f>
        <v>16954</v>
      </c>
      <c r="E168" s="45"/>
      <c r="F168" s="47"/>
      <c r="G168" s="47"/>
    </row>
    <row r="169" spans="1:7" ht="15" customHeight="1" x14ac:dyDescent="0.3">
      <c r="A169" s="45"/>
      <c r="B169" s="87"/>
      <c r="C169" s="112"/>
      <c r="D169" s="45"/>
      <c r="E169" s="45"/>
      <c r="F169" s="47"/>
      <c r="G169" s="47"/>
    </row>
    <row r="170" spans="1:7" ht="15" customHeight="1" x14ac:dyDescent="0.3">
      <c r="B170" s="85" t="s">
        <v>153</v>
      </c>
      <c r="C170" s="112"/>
      <c r="D170" s="45"/>
      <c r="E170" s="45"/>
      <c r="F170" s="47"/>
      <c r="G170" s="47"/>
    </row>
    <row r="171" spans="1:7" ht="15" customHeight="1" x14ac:dyDescent="0.3">
      <c r="A171" s="89" t="s">
        <v>728</v>
      </c>
      <c r="B171" s="85" t="s">
        <v>958</v>
      </c>
      <c r="C171" s="112">
        <v>1449558796.78</v>
      </c>
      <c r="D171" s="89">
        <v>10023</v>
      </c>
      <c r="E171" s="45"/>
      <c r="F171" s="47">
        <f t="shared" ref="F171:F181" si="3">IF($C$182=0,"",IF(C171="[for completion]","",C171/$C$182))</f>
        <v>0.33932155207382914</v>
      </c>
      <c r="G171" s="47">
        <f t="shared" ref="G171:G181" si="4">IF($D$182=0,"",IF(D171="[for completion]","",D171/$D$182))</f>
        <v>0.59118792025480715</v>
      </c>
    </row>
    <row r="172" spans="1:7" ht="15" customHeight="1" x14ac:dyDescent="0.3">
      <c r="A172" s="89" t="s">
        <v>729</v>
      </c>
      <c r="B172" s="85" t="s">
        <v>960</v>
      </c>
      <c r="C172" s="112">
        <v>1932127329.54</v>
      </c>
      <c r="D172" s="89">
        <v>5619</v>
      </c>
      <c r="E172" s="45"/>
      <c r="F172" s="47">
        <f t="shared" si="3"/>
        <v>0.45228413343434598</v>
      </c>
      <c r="G172" s="47">
        <f t="shared" si="4"/>
        <v>0.33142621210333845</v>
      </c>
    </row>
    <row r="173" spans="1:7" ht="15" customHeight="1" x14ac:dyDescent="0.3">
      <c r="A173" s="89" t="s">
        <v>730</v>
      </c>
      <c r="B173" s="85" t="s">
        <v>959</v>
      </c>
      <c r="C173" s="112">
        <v>768166160.38</v>
      </c>
      <c r="D173" s="89">
        <v>1222</v>
      </c>
      <c r="E173" s="45"/>
      <c r="F173" s="47">
        <f t="shared" si="3"/>
        <v>0.17981701354215252</v>
      </c>
      <c r="G173" s="47">
        <f t="shared" si="4"/>
        <v>7.2077385867641855E-2</v>
      </c>
    </row>
    <row r="174" spans="1:7" ht="15" customHeight="1" x14ac:dyDescent="0.3">
      <c r="A174" s="89" t="s">
        <v>731</v>
      </c>
      <c r="B174" s="85" t="s">
        <v>961</v>
      </c>
      <c r="C174" s="112">
        <v>122080303.26000001</v>
      </c>
      <c r="D174" s="89">
        <v>90</v>
      </c>
      <c r="E174" s="45"/>
      <c r="F174" s="47">
        <f t="shared" si="3"/>
        <v>2.8577300949672313E-2</v>
      </c>
      <c r="G174" s="47">
        <f t="shared" si="4"/>
        <v>5.3084817742125754E-3</v>
      </c>
    </row>
    <row r="175" spans="1:7" ht="15" customHeight="1" x14ac:dyDescent="0.3">
      <c r="A175" s="89" t="s">
        <v>732</v>
      </c>
      <c r="B175" s="85" t="s">
        <v>962</v>
      </c>
      <c r="C175" s="112">
        <v>0</v>
      </c>
      <c r="D175" s="89">
        <v>0</v>
      </c>
      <c r="E175" s="45"/>
      <c r="F175" s="47">
        <f t="shared" si="3"/>
        <v>0</v>
      </c>
      <c r="G175" s="47">
        <f t="shared" si="4"/>
        <v>0</v>
      </c>
    </row>
    <row r="176" spans="1:7" ht="15" customHeight="1" x14ac:dyDescent="0.3">
      <c r="A176" s="89" t="s">
        <v>733</v>
      </c>
      <c r="B176" s="85" t="s">
        <v>963</v>
      </c>
      <c r="C176" s="112">
        <v>0</v>
      </c>
      <c r="D176" s="89">
        <v>0</v>
      </c>
      <c r="E176" s="45"/>
      <c r="F176" s="47">
        <f t="shared" si="3"/>
        <v>0</v>
      </c>
      <c r="G176" s="47">
        <f t="shared" si="4"/>
        <v>0</v>
      </c>
    </row>
    <row r="177" spans="1:7" ht="15" customHeight="1" x14ac:dyDescent="0.3">
      <c r="A177" s="89" t="s">
        <v>734</v>
      </c>
      <c r="B177" s="85" t="s">
        <v>964</v>
      </c>
      <c r="C177" s="112">
        <v>0</v>
      </c>
      <c r="D177" s="89">
        <v>0</v>
      </c>
      <c r="E177" s="45"/>
      <c r="F177" s="47">
        <f t="shared" si="3"/>
        <v>0</v>
      </c>
      <c r="G177" s="47">
        <f t="shared" si="4"/>
        <v>0</v>
      </c>
    </row>
    <row r="178" spans="1:7" ht="15" customHeight="1" x14ac:dyDescent="0.3">
      <c r="A178" s="89" t="s">
        <v>735</v>
      </c>
      <c r="B178" s="85" t="s">
        <v>965</v>
      </c>
      <c r="C178" s="112">
        <v>0</v>
      </c>
      <c r="D178" s="89">
        <v>0</v>
      </c>
      <c r="E178" s="45"/>
      <c r="F178" s="47">
        <f t="shared" si="3"/>
        <v>0</v>
      </c>
      <c r="G178" s="47">
        <f t="shared" si="4"/>
        <v>0</v>
      </c>
    </row>
    <row r="179" spans="1:7" ht="15" customHeight="1" x14ac:dyDescent="0.3">
      <c r="A179" s="89" t="s">
        <v>736</v>
      </c>
      <c r="B179" s="85" t="s">
        <v>966</v>
      </c>
      <c r="C179" s="112">
        <v>0</v>
      </c>
      <c r="D179" s="89">
        <v>0</v>
      </c>
      <c r="E179" s="45"/>
      <c r="F179" s="47">
        <f t="shared" si="3"/>
        <v>0</v>
      </c>
      <c r="G179" s="47">
        <f t="shared" si="4"/>
        <v>0</v>
      </c>
    </row>
    <row r="180" spans="1:7" ht="15" customHeight="1" x14ac:dyDescent="0.3">
      <c r="A180" s="89" t="s">
        <v>737</v>
      </c>
      <c r="B180" s="85" t="s">
        <v>967</v>
      </c>
      <c r="C180" s="112">
        <v>0</v>
      </c>
      <c r="D180" s="89">
        <v>0</v>
      </c>
      <c r="E180" s="85"/>
      <c r="F180" s="47">
        <f t="shared" si="3"/>
        <v>0</v>
      </c>
      <c r="G180" s="47">
        <f t="shared" si="4"/>
        <v>0</v>
      </c>
    </row>
    <row r="181" spans="1:7" ht="15" customHeight="1" x14ac:dyDescent="0.3">
      <c r="A181" s="89" t="s">
        <v>738</v>
      </c>
      <c r="B181" s="85" t="s">
        <v>968</v>
      </c>
      <c r="C181" s="112">
        <v>0</v>
      </c>
      <c r="D181" s="89">
        <v>0</v>
      </c>
      <c r="E181" s="85"/>
      <c r="F181" s="47">
        <f t="shared" si="3"/>
        <v>0</v>
      </c>
      <c r="G181" s="47">
        <f t="shared" si="4"/>
        <v>0</v>
      </c>
    </row>
    <row r="182" spans="1:7" ht="15" customHeight="1" x14ac:dyDescent="0.3">
      <c r="A182" s="89" t="s">
        <v>739</v>
      </c>
      <c r="B182" s="56" t="s">
        <v>1</v>
      </c>
      <c r="C182" s="116">
        <f>SUM(C171:C181)</f>
        <v>4271932589.96</v>
      </c>
      <c r="D182" s="85">
        <f>SUM(D171:D181)</f>
        <v>16954</v>
      </c>
      <c r="E182" s="57"/>
      <c r="F182" s="47">
        <f>SUM(F171:F181)</f>
        <v>1</v>
      </c>
      <c r="G182" s="47">
        <f>SUM(G171:G181)</f>
        <v>1</v>
      </c>
    </row>
    <row r="183" spans="1:7" ht="15" customHeight="1" x14ac:dyDescent="0.3">
      <c r="A183" s="58"/>
      <c r="B183" s="60" t="s">
        <v>890</v>
      </c>
      <c r="C183" s="58" t="s">
        <v>152</v>
      </c>
      <c r="D183" s="58" t="s">
        <v>57</v>
      </c>
      <c r="E183" s="46"/>
      <c r="F183" s="58" t="s">
        <v>144</v>
      </c>
      <c r="G183" s="58" t="s">
        <v>150</v>
      </c>
    </row>
    <row r="184" spans="1:7" ht="15" customHeight="1" x14ac:dyDescent="0.3">
      <c r="A184" s="89" t="s">
        <v>740</v>
      </c>
      <c r="B184" s="89" t="s">
        <v>137</v>
      </c>
      <c r="C184" s="118">
        <v>78.04172645458317</v>
      </c>
      <c r="F184" s="47"/>
      <c r="G184" s="47"/>
    </row>
    <row r="185" spans="1:7" ht="15" customHeight="1" x14ac:dyDescent="0.3">
      <c r="C185" s="112"/>
      <c r="F185" s="47"/>
      <c r="G185" s="47"/>
    </row>
    <row r="186" spans="1:7" ht="15" customHeight="1" x14ac:dyDescent="0.3">
      <c r="B186" s="85" t="s">
        <v>241</v>
      </c>
      <c r="C186" s="112"/>
      <c r="F186" s="47"/>
      <c r="G186" s="47"/>
    </row>
    <row r="187" spans="1:7" ht="15" customHeight="1" x14ac:dyDescent="0.3">
      <c r="A187" s="89" t="s">
        <v>741</v>
      </c>
      <c r="B187" s="89" t="s">
        <v>169</v>
      </c>
      <c r="C187" s="112">
        <v>277160307.48000002</v>
      </c>
      <c r="D187" s="89">
        <v>2583</v>
      </c>
      <c r="F187" s="47">
        <f t="shared" ref="F187:F194" si="5">IF($C$195=0,"",IF(C187="[for completion]","",C187/$C$195))</f>
        <v>6.4879372893521053E-2</v>
      </c>
      <c r="G187" s="47">
        <f t="shared" ref="G187:G194" si="6">IF($D$195=0,"",IF(D187="[for completion]","",D187/$D$195))</f>
        <v>0.15235342691990092</v>
      </c>
    </row>
    <row r="188" spans="1:7" ht="15" customHeight="1" x14ac:dyDescent="0.3">
      <c r="A188" s="89" t="s">
        <v>742</v>
      </c>
      <c r="B188" s="89" t="s">
        <v>171</v>
      </c>
      <c r="C188" s="112">
        <v>213365914.06</v>
      </c>
      <c r="D188" s="89">
        <v>1163</v>
      </c>
      <c r="F188" s="47">
        <f t="shared" si="5"/>
        <v>4.9945992725039197E-2</v>
      </c>
      <c r="G188" s="47">
        <f t="shared" si="6"/>
        <v>6.8597381148991388E-2</v>
      </c>
    </row>
    <row r="189" spans="1:7" ht="15" customHeight="1" x14ac:dyDescent="0.3">
      <c r="A189" s="89" t="s">
        <v>743</v>
      </c>
      <c r="B189" s="89" t="s">
        <v>172</v>
      </c>
      <c r="C189" s="112">
        <v>281492541.02999997</v>
      </c>
      <c r="D189" s="89">
        <v>1286</v>
      </c>
      <c r="F189" s="47">
        <f t="shared" si="5"/>
        <v>6.5893488509526255E-2</v>
      </c>
      <c r="G189" s="47">
        <f t="shared" si="6"/>
        <v>7.5852306240415238E-2</v>
      </c>
    </row>
    <row r="190" spans="1:7" ht="15" customHeight="1" x14ac:dyDescent="0.3">
      <c r="A190" s="89" t="s">
        <v>744</v>
      </c>
      <c r="B190" s="89" t="s">
        <v>173</v>
      </c>
      <c r="C190" s="112">
        <v>356865605.14999998</v>
      </c>
      <c r="D190" s="89">
        <v>1431</v>
      </c>
      <c r="F190" s="47">
        <f t="shared" si="5"/>
        <v>8.3537274438438988E-2</v>
      </c>
      <c r="G190" s="47">
        <f t="shared" si="6"/>
        <v>8.4404860209979948E-2</v>
      </c>
    </row>
    <row r="191" spans="1:7" ht="15" customHeight="1" x14ac:dyDescent="0.3">
      <c r="A191" s="89" t="s">
        <v>745</v>
      </c>
      <c r="B191" s="89" t="s">
        <v>174</v>
      </c>
      <c r="C191" s="112">
        <v>551507309.02999997</v>
      </c>
      <c r="D191" s="89">
        <v>1934</v>
      </c>
      <c r="F191" s="47">
        <f t="shared" si="5"/>
        <v>0.12910018999975933</v>
      </c>
      <c r="G191" s="47">
        <f t="shared" si="6"/>
        <v>0.11407337501474578</v>
      </c>
    </row>
    <row r="192" spans="1:7" ht="15" customHeight="1" x14ac:dyDescent="0.3">
      <c r="A192" s="89" t="s">
        <v>746</v>
      </c>
      <c r="B192" s="89" t="s">
        <v>175</v>
      </c>
      <c r="C192" s="112">
        <v>994963082.02999997</v>
      </c>
      <c r="D192" s="89">
        <v>3407</v>
      </c>
      <c r="F192" s="47">
        <f t="shared" si="5"/>
        <v>0.2329070183289845</v>
      </c>
      <c r="G192" s="47">
        <f t="shared" si="6"/>
        <v>0.20095552671935826</v>
      </c>
    </row>
    <row r="193" spans="1:7" ht="15" customHeight="1" x14ac:dyDescent="0.3">
      <c r="A193" s="89" t="s">
        <v>747</v>
      </c>
      <c r="B193" s="89" t="s">
        <v>176</v>
      </c>
      <c r="C193" s="112">
        <v>1596577831.1800001</v>
      </c>
      <c r="D193" s="89">
        <v>5150</v>
      </c>
      <c r="F193" s="47">
        <f t="shared" si="5"/>
        <v>0.37373666310473069</v>
      </c>
      <c r="G193" s="47">
        <f t="shared" si="6"/>
        <v>0.30376312374660847</v>
      </c>
    </row>
    <row r="194" spans="1:7" ht="15" customHeight="1" x14ac:dyDescent="0.3">
      <c r="A194" s="89" t="s">
        <v>748</v>
      </c>
      <c r="B194" s="89" t="s">
        <v>170</v>
      </c>
      <c r="C194" s="112">
        <f>SUM(C196:C201)</f>
        <v>0</v>
      </c>
      <c r="D194" s="89">
        <f>SUM(D196:D201)</f>
        <v>0</v>
      </c>
      <c r="F194" s="47">
        <f t="shared" si="5"/>
        <v>0</v>
      </c>
      <c r="G194" s="47">
        <f t="shared" si="6"/>
        <v>0</v>
      </c>
    </row>
    <row r="195" spans="1:7" ht="15" customHeight="1" x14ac:dyDescent="0.3">
      <c r="A195" s="89" t="s">
        <v>749</v>
      </c>
      <c r="B195" s="56" t="s">
        <v>1</v>
      </c>
      <c r="C195" s="112">
        <f>SUM(C187:C194)</f>
        <v>4271932589.96</v>
      </c>
      <c r="D195" s="89">
        <f>SUM(D187:D194)</f>
        <v>16954</v>
      </c>
      <c r="F195" s="47">
        <f>SUM(F187:F194)</f>
        <v>1</v>
      </c>
      <c r="G195" s="47">
        <f>SUM(G187:G194)</f>
        <v>1</v>
      </c>
    </row>
    <row r="196" spans="1:7" ht="15" hidden="1" customHeight="1" outlineLevel="1" x14ac:dyDescent="0.3">
      <c r="A196" s="89" t="s">
        <v>750</v>
      </c>
      <c r="B196" s="66" t="s">
        <v>177</v>
      </c>
      <c r="C196" s="112">
        <v>0</v>
      </c>
      <c r="D196" s="89">
        <v>0</v>
      </c>
      <c r="F196" s="47">
        <f t="shared" ref="F196:F201" si="7">IF($C$195=0,"",IF(C196="[for completion]","",C196/$C$195))</f>
        <v>0</v>
      </c>
      <c r="G196" s="47">
        <f t="shared" ref="G196:G201" si="8">IF($D$195=0,"",IF(D196="[for completion]","",D196/$D$195))</f>
        <v>0</v>
      </c>
    </row>
    <row r="197" spans="1:7" ht="15" hidden="1" customHeight="1" outlineLevel="1" x14ac:dyDescent="0.3">
      <c r="A197" s="89" t="s">
        <v>751</v>
      </c>
      <c r="B197" s="66" t="s">
        <v>178</v>
      </c>
      <c r="C197" s="112">
        <v>0</v>
      </c>
      <c r="D197" s="89">
        <v>0</v>
      </c>
      <c r="F197" s="47">
        <f t="shared" si="7"/>
        <v>0</v>
      </c>
      <c r="G197" s="47">
        <f t="shared" si="8"/>
        <v>0</v>
      </c>
    </row>
    <row r="198" spans="1:7" ht="15" hidden="1" customHeight="1" outlineLevel="1" x14ac:dyDescent="0.3">
      <c r="A198" s="89" t="s">
        <v>752</v>
      </c>
      <c r="B198" s="66" t="s">
        <v>179</v>
      </c>
      <c r="C198" s="112">
        <v>0</v>
      </c>
      <c r="D198" s="89">
        <v>0</v>
      </c>
      <c r="F198" s="47">
        <f t="shared" si="7"/>
        <v>0</v>
      </c>
      <c r="G198" s="47">
        <f t="shared" si="8"/>
        <v>0</v>
      </c>
    </row>
    <row r="199" spans="1:7" ht="15" hidden="1" customHeight="1" outlineLevel="1" x14ac:dyDescent="0.3">
      <c r="A199" s="89" t="s">
        <v>753</v>
      </c>
      <c r="B199" s="66" t="s">
        <v>180</v>
      </c>
      <c r="C199" s="112">
        <v>0</v>
      </c>
      <c r="D199" s="89">
        <v>0</v>
      </c>
      <c r="F199" s="47">
        <f t="shared" si="7"/>
        <v>0</v>
      </c>
      <c r="G199" s="47">
        <f t="shared" si="8"/>
        <v>0</v>
      </c>
    </row>
    <row r="200" spans="1:7" ht="15" hidden="1" customHeight="1" outlineLevel="1" x14ac:dyDescent="0.3">
      <c r="A200" s="89" t="s">
        <v>754</v>
      </c>
      <c r="B200" s="66" t="s">
        <v>181</v>
      </c>
      <c r="C200" s="112">
        <v>0</v>
      </c>
      <c r="D200" s="89">
        <v>0</v>
      </c>
      <c r="F200" s="47">
        <f t="shared" si="7"/>
        <v>0</v>
      </c>
      <c r="G200" s="47">
        <f t="shared" si="8"/>
        <v>0</v>
      </c>
    </row>
    <row r="201" spans="1:7" ht="15" hidden="1" customHeight="1" outlineLevel="1" x14ac:dyDescent="0.3">
      <c r="A201" s="89" t="s">
        <v>755</v>
      </c>
      <c r="B201" s="66" t="s">
        <v>182</v>
      </c>
      <c r="C201" s="112">
        <v>0</v>
      </c>
      <c r="D201" s="89">
        <v>0</v>
      </c>
      <c r="F201" s="47">
        <f t="shared" si="7"/>
        <v>0</v>
      </c>
      <c r="G201" s="47">
        <f t="shared" si="8"/>
        <v>0</v>
      </c>
    </row>
    <row r="202" spans="1:7" ht="15" hidden="1" customHeight="1" outlineLevel="1" x14ac:dyDescent="0.3">
      <c r="A202" s="89" t="s">
        <v>756</v>
      </c>
      <c r="B202" s="66"/>
      <c r="C202" s="112"/>
      <c r="F202" s="47"/>
      <c r="G202" s="47"/>
    </row>
    <row r="203" spans="1:7" ht="15" hidden="1" customHeight="1" outlineLevel="1" x14ac:dyDescent="0.3">
      <c r="A203" s="89" t="s">
        <v>757</v>
      </c>
      <c r="B203" s="66"/>
      <c r="C203" s="112"/>
      <c r="F203" s="47"/>
      <c r="G203" s="47"/>
    </row>
    <row r="204" spans="1:7" ht="15" hidden="1" customHeight="1" outlineLevel="1" x14ac:dyDescent="0.3">
      <c r="A204" s="89" t="s">
        <v>758</v>
      </c>
      <c r="B204" s="66"/>
      <c r="C204" s="112"/>
      <c r="F204" s="47"/>
      <c r="G204" s="47"/>
    </row>
    <row r="205" spans="1:7" ht="15" customHeight="1" collapsed="1" x14ac:dyDescent="0.3">
      <c r="A205" s="58"/>
      <c r="B205" s="60" t="s">
        <v>891</v>
      </c>
      <c r="C205" s="58" t="s">
        <v>152</v>
      </c>
      <c r="D205" s="58" t="s">
        <v>57</v>
      </c>
      <c r="E205" s="46"/>
      <c r="F205" s="58" t="s">
        <v>144</v>
      </c>
      <c r="G205" s="58" t="s">
        <v>150</v>
      </c>
    </row>
    <row r="206" spans="1:7" ht="15" customHeight="1" x14ac:dyDescent="0.3">
      <c r="A206" s="89" t="s">
        <v>759</v>
      </c>
      <c r="B206" s="89" t="s">
        <v>137</v>
      </c>
      <c r="C206" s="112" t="s">
        <v>186</v>
      </c>
      <c r="F206" s="47"/>
      <c r="G206" s="47"/>
    </row>
    <row r="207" spans="1:7" ht="15" customHeight="1" x14ac:dyDescent="0.3">
      <c r="C207" s="112"/>
      <c r="F207" s="47"/>
      <c r="G207" s="47"/>
    </row>
    <row r="208" spans="1:7" ht="15" customHeight="1" x14ac:dyDescent="0.3">
      <c r="B208" s="85" t="s">
        <v>241</v>
      </c>
      <c r="C208" s="112"/>
      <c r="F208" s="47"/>
      <c r="G208" s="47"/>
    </row>
    <row r="209" spans="1:7" ht="15" customHeight="1" x14ac:dyDescent="0.3">
      <c r="A209" s="89" t="s">
        <v>760</v>
      </c>
      <c r="B209" s="89" t="s">
        <v>169</v>
      </c>
      <c r="C209" s="112" t="s">
        <v>186</v>
      </c>
      <c r="D209" s="112" t="s">
        <v>186</v>
      </c>
      <c r="F209" s="47" t="str">
        <f t="shared" ref="F209:F216" si="9">IF($C$217=0,"",IF(C209="[Mark as ND1 if not relevant]","",C209/$C$217))</f>
        <v/>
      </c>
      <c r="G209" s="47" t="str">
        <f t="shared" ref="G209:G216" si="10">IF($D$217=0,"",IF(D209="[Mark as ND1 if not relevant]","",D209/$D$217))</f>
        <v/>
      </c>
    </row>
    <row r="210" spans="1:7" ht="15" customHeight="1" x14ac:dyDescent="0.3">
      <c r="A210" s="89" t="s">
        <v>761</v>
      </c>
      <c r="B210" s="89" t="s">
        <v>171</v>
      </c>
      <c r="C210" s="112" t="s">
        <v>186</v>
      </c>
      <c r="D210" s="112" t="s">
        <v>186</v>
      </c>
      <c r="F210" s="47" t="str">
        <f t="shared" si="9"/>
        <v/>
      </c>
      <c r="G210" s="47" t="str">
        <f t="shared" si="10"/>
        <v/>
      </c>
    </row>
    <row r="211" spans="1:7" ht="15" customHeight="1" x14ac:dyDescent="0.3">
      <c r="A211" s="89" t="s">
        <v>762</v>
      </c>
      <c r="B211" s="89" t="s">
        <v>172</v>
      </c>
      <c r="C211" s="112" t="s">
        <v>186</v>
      </c>
      <c r="D211" s="112" t="s">
        <v>186</v>
      </c>
      <c r="F211" s="47" t="str">
        <f t="shared" si="9"/>
        <v/>
      </c>
      <c r="G211" s="47" t="str">
        <f t="shared" si="10"/>
        <v/>
      </c>
    </row>
    <row r="212" spans="1:7" ht="15" customHeight="1" x14ac:dyDescent="0.3">
      <c r="A212" s="89" t="s">
        <v>763</v>
      </c>
      <c r="B212" s="89" t="s">
        <v>173</v>
      </c>
      <c r="C212" s="112" t="s">
        <v>186</v>
      </c>
      <c r="D212" s="112" t="s">
        <v>186</v>
      </c>
      <c r="F212" s="47" t="str">
        <f t="shared" si="9"/>
        <v/>
      </c>
      <c r="G212" s="47" t="str">
        <f t="shared" si="10"/>
        <v/>
      </c>
    </row>
    <row r="213" spans="1:7" ht="15" customHeight="1" x14ac:dyDescent="0.3">
      <c r="A213" s="89" t="s">
        <v>764</v>
      </c>
      <c r="B213" s="89" t="s">
        <v>174</v>
      </c>
      <c r="C213" s="112" t="s">
        <v>186</v>
      </c>
      <c r="D213" s="112" t="s">
        <v>186</v>
      </c>
      <c r="F213" s="47" t="str">
        <f t="shared" si="9"/>
        <v/>
      </c>
      <c r="G213" s="47" t="str">
        <f t="shared" si="10"/>
        <v/>
      </c>
    </row>
    <row r="214" spans="1:7" ht="15" customHeight="1" x14ac:dyDescent="0.3">
      <c r="A214" s="89" t="s">
        <v>765</v>
      </c>
      <c r="B214" s="89" t="s">
        <v>175</v>
      </c>
      <c r="C214" s="112" t="s">
        <v>186</v>
      </c>
      <c r="D214" s="112" t="s">
        <v>186</v>
      </c>
      <c r="F214" s="47" t="str">
        <f t="shared" si="9"/>
        <v/>
      </c>
      <c r="G214" s="47" t="str">
        <f t="shared" si="10"/>
        <v/>
      </c>
    </row>
    <row r="215" spans="1:7" ht="15" customHeight="1" x14ac:dyDescent="0.3">
      <c r="A215" s="89" t="s">
        <v>766</v>
      </c>
      <c r="B215" s="89" t="s">
        <v>176</v>
      </c>
      <c r="C215" s="112" t="s">
        <v>186</v>
      </c>
      <c r="D215" s="112" t="s">
        <v>186</v>
      </c>
      <c r="F215" s="47" t="str">
        <f t="shared" si="9"/>
        <v/>
      </c>
      <c r="G215" s="47" t="str">
        <f t="shared" si="10"/>
        <v/>
      </c>
    </row>
    <row r="216" spans="1:7" ht="15" customHeight="1" x14ac:dyDescent="0.3">
      <c r="A216" s="89" t="s">
        <v>767</v>
      </c>
      <c r="B216" s="89" t="s">
        <v>170</v>
      </c>
      <c r="C216" s="112" t="s">
        <v>186</v>
      </c>
      <c r="D216" s="112" t="s">
        <v>186</v>
      </c>
      <c r="F216" s="47" t="str">
        <f t="shared" si="9"/>
        <v/>
      </c>
      <c r="G216" s="47" t="str">
        <f t="shared" si="10"/>
        <v/>
      </c>
    </row>
    <row r="217" spans="1:7" ht="15" customHeight="1" x14ac:dyDescent="0.3">
      <c r="A217" s="89" t="s">
        <v>768</v>
      </c>
      <c r="B217" s="56" t="s">
        <v>1</v>
      </c>
      <c r="C217" s="112">
        <f>SUM(C209:C216)</f>
        <v>0</v>
      </c>
      <c r="D217" s="89">
        <f>SUM(D209:D216)</f>
        <v>0</v>
      </c>
      <c r="F217" s="47">
        <f>SUM(F209:F216)</f>
        <v>0</v>
      </c>
      <c r="G217" s="47">
        <f>SUM(G209:G216)</f>
        <v>0</v>
      </c>
    </row>
    <row r="218" spans="1:7" ht="15" hidden="1" customHeight="1" outlineLevel="1" x14ac:dyDescent="0.3">
      <c r="A218" s="89" t="s">
        <v>769</v>
      </c>
      <c r="B218" s="66" t="s">
        <v>177</v>
      </c>
      <c r="C218" s="112"/>
      <c r="F218" s="47" t="str">
        <f t="shared" ref="F218:F223" si="11">IF($C$217=0,"",IF(C218="[for completion]","",C218/$C$217))</f>
        <v/>
      </c>
      <c r="G218" s="47">
        <f>0</f>
        <v>0</v>
      </c>
    </row>
    <row r="219" spans="1:7" ht="15" hidden="1" customHeight="1" outlineLevel="1" x14ac:dyDescent="0.3">
      <c r="A219" s="89" t="s">
        <v>770</v>
      </c>
      <c r="B219" s="66" t="s">
        <v>178</v>
      </c>
      <c r="C219" s="112"/>
      <c r="F219" s="47" t="str">
        <f t="shared" si="11"/>
        <v/>
      </c>
      <c r="G219" s="47">
        <f>0</f>
        <v>0</v>
      </c>
    </row>
    <row r="220" spans="1:7" ht="15" hidden="1" customHeight="1" outlineLevel="1" x14ac:dyDescent="0.3">
      <c r="A220" s="89" t="s">
        <v>771</v>
      </c>
      <c r="B220" s="66" t="s">
        <v>179</v>
      </c>
      <c r="C220" s="112"/>
      <c r="F220" s="47" t="str">
        <f t="shared" si="11"/>
        <v/>
      </c>
      <c r="G220" s="47">
        <f>0</f>
        <v>0</v>
      </c>
    </row>
    <row r="221" spans="1:7" ht="15" hidden="1" customHeight="1" outlineLevel="1" x14ac:dyDescent="0.3">
      <c r="A221" s="89" t="s">
        <v>772</v>
      </c>
      <c r="B221" s="66" t="s">
        <v>180</v>
      </c>
      <c r="C221" s="112"/>
      <c r="F221" s="47" t="str">
        <f t="shared" si="11"/>
        <v/>
      </c>
      <c r="G221" s="47">
        <f>0</f>
        <v>0</v>
      </c>
    </row>
    <row r="222" spans="1:7" ht="15" hidden="1" customHeight="1" outlineLevel="1" x14ac:dyDescent="0.3">
      <c r="A222" s="89" t="s">
        <v>773</v>
      </c>
      <c r="B222" s="66" t="s">
        <v>181</v>
      </c>
      <c r="C222" s="112"/>
      <c r="F222" s="47" t="str">
        <f t="shared" si="11"/>
        <v/>
      </c>
      <c r="G222" s="47">
        <f>0</f>
        <v>0</v>
      </c>
    </row>
    <row r="223" spans="1:7" ht="15" hidden="1" customHeight="1" outlineLevel="1" x14ac:dyDescent="0.3">
      <c r="A223" s="89" t="s">
        <v>774</v>
      </c>
      <c r="B223" s="66" t="s">
        <v>182</v>
      </c>
      <c r="C223" s="112"/>
      <c r="F223" s="47" t="str">
        <f t="shared" si="11"/>
        <v/>
      </c>
      <c r="G223" s="47">
        <f>0</f>
        <v>0</v>
      </c>
    </row>
    <row r="224" spans="1:7" ht="15" hidden="1" customHeight="1" outlineLevel="1" x14ac:dyDescent="0.3">
      <c r="A224" s="89" t="s">
        <v>775</v>
      </c>
      <c r="B224" s="66"/>
      <c r="C224" s="112"/>
      <c r="F224" s="47"/>
      <c r="G224" s="47"/>
    </row>
    <row r="225" spans="1:7" ht="15" hidden="1" customHeight="1" outlineLevel="1" x14ac:dyDescent="0.3">
      <c r="A225" s="89" t="s">
        <v>776</v>
      </c>
      <c r="B225" s="66"/>
      <c r="C225" s="112"/>
      <c r="F225" s="47"/>
      <c r="G225" s="47"/>
    </row>
    <row r="226" spans="1:7" ht="15" hidden="1" customHeight="1" outlineLevel="1" x14ac:dyDescent="0.3">
      <c r="A226" s="89" t="s">
        <v>777</v>
      </c>
      <c r="B226" s="66"/>
      <c r="C226" s="112"/>
      <c r="F226" s="47"/>
      <c r="G226" s="47"/>
    </row>
    <row r="227" spans="1:7" ht="15" customHeight="1" collapsed="1" x14ac:dyDescent="0.3">
      <c r="A227" s="58"/>
      <c r="B227" s="60" t="s">
        <v>892</v>
      </c>
      <c r="C227" s="58" t="s">
        <v>144</v>
      </c>
      <c r="D227" s="58"/>
      <c r="E227" s="46"/>
      <c r="F227" s="58"/>
      <c r="G227" s="58"/>
    </row>
    <row r="228" spans="1:7" ht="15" customHeight="1" x14ac:dyDescent="0.3">
      <c r="A228" s="89" t="s">
        <v>778</v>
      </c>
      <c r="B228" s="89" t="s">
        <v>12</v>
      </c>
      <c r="C228" s="47">
        <v>1</v>
      </c>
      <c r="E228" s="57"/>
      <c r="F228" s="57"/>
      <c r="G228" s="57"/>
    </row>
    <row r="229" spans="1:7" ht="15" customHeight="1" x14ac:dyDescent="0.3">
      <c r="A229" s="89" t="s">
        <v>779</v>
      </c>
      <c r="B229" s="89" t="s">
        <v>140</v>
      </c>
      <c r="C229" s="47">
        <v>0</v>
      </c>
      <c r="E229" s="57"/>
      <c r="F229" s="57"/>
    </row>
    <row r="230" spans="1:7" ht="15" customHeight="1" x14ac:dyDescent="0.3">
      <c r="A230" s="89" t="s">
        <v>780</v>
      </c>
      <c r="B230" s="89" t="s">
        <v>939</v>
      </c>
      <c r="C230" s="47">
        <v>0</v>
      </c>
      <c r="E230" s="57"/>
      <c r="F230" s="57"/>
    </row>
    <row r="231" spans="1:7" ht="15" customHeight="1" x14ac:dyDescent="0.3">
      <c r="A231" s="89" t="s">
        <v>781</v>
      </c>
      <c r="B231" s="89" t="s">
        <v>2</v>
      </c>
      <c r="C231" s="47">
        <v>0</v>
      </c>
      <c r="E231" s="57"/>
      <c r="F231" s="57"/>
    </row>
    <row r="232" spans="1:7" ht="15" hidden="1" customHeight="1" outlineLevel="1" x14ac:dyDescent="0.3">
      <c r="A232" s="89" t="s">
        <v>782</v>
      </c>
      <c r="B232" s="66" t="s">
        <v>157</v>
      </c>
      <c r="C232" s="47"/>
      <c r="E232" s="57"/>
      <c r="F232" s="57"/>
    </row>
    <row r="233" spans="1:7" ht="15" hidden="1" customHeight="1" outlineLevel="1" x14ac:dyDescent="0.3">
      <c r="A233" s="89" t="s">
        <v>783</v>
      </c>
      <c r="B233" s="66" t="s">
        <v>158</v>
      </c>
      <c r="C233" s="47"/>
      <c r="E233" s="57"/>
      <c r="F233" s="57"/>
    </row>
    <row r="234" spans="1:7" ht="15" hidden="1" customHeight="1" outlineLevel="1" x14ac:dyDescent="0.3">
      <c r="A234" s="89" t="s">
        <v>784</v>
      </c>
      <c r="B234" s="66" t="s">
        <v>201</v>
      </c>
      <c r="C234" s="47"/>
      <c r="E234" s="57"/>
      <c r="F234" s="57"/>
    </row>
    <row r="235" spans="1:7" ht="15" hidden="1" customHeight="1" outlineLevel="1" x14ac:dyDescent="0.3">
      <c r="A235" s="89" t="s">
        <v>785</v>
      </c>
      <c r="B235" s="66" t="s">
        <v>202</v>
      </c>
      <c r="C235" s="47"/>
      <c r="E235" s="57"/>
      <c r="F235" s="57"/>
    </row>
    <row r="236" spans="1:7" ht="15" hidden="1" customHeight="1" outlineLevel="1" x14ac:dyDescent="0.3">
      <c r="A236" s="89" t="s">
        <v>786</v>
      </c>
      <c r="B236" s="66" t="s">
        <v>203</v>
      </c>
      <c r="C236" s="47"/>
      <c r="E236" s="57"/>
      <c r="F236" s="57"/>
    </row>
    <row r="237" spans="1:7" ht="15" hidden="1" customHeight="1" outlineLevel="1" x14ac:dyDescent="0.3">
      <c r="A237" s="89" t="s">
        <v>787</v>
      </c>
      <c r="B237" s="66" t="s">
        <v>155</v>
      </c>
      <c r="C237" s="47"/>
      <c r="E237" s="57"/>
      <c r="F237" s="57"/>
    </row>
    <row r="238" spans="1:7" ht="15" hidden="1" customHeight="1" outlineLevel="1" x14ac:dyDescent="0.3">
      <c r="A238" s="89" t="s">
        <v>788</v>
      </c>
      <c r="B238" s="66" t="s">
        <v>155</v>
      </c>
      <c r="C238" s="47"/>
      <c r="E238" s="57"/>
      <c r="F238" s="57"/>
    </row>
    <row r="239" spans="1:7" ht="15" hidden="1" customHeight="1" outlineLevel="1" x14ac:dyDescent="0.3">
      <c r="A239" s="89" t="s">
        <v>789</v>
      </c>
      <c r="B239" s="66" t="s">
        <v>155</v>
      </c>
      <c r="C239" s="47"/>
      <c r="E239" s="57"/>
      <c r="F239" s="57"/>
    </row>
    <row r="240" spans="1:7" ht="15" hidden="1" customHeight="1" outlineLevel="1" x14ac:dyDescent="0.3">
      <c r="A240" s="89" t="s">
        <v>790</v>
      </c>
      <c r="B240" s="66" t="s">
        <v>155</v>
      </c>
      <c r="C240" s="47"/>
      <c r="E240" s="57"/>
      <c r="F240" s="57"/>
    </row>
    <row r="241" spans="1:7" ht="15" hidden="1" customHeight="1" outlineLevel="1" x14ac:dyDescent="0.3">
      <c r="A241" s="89" t="s">
        <v>791</v>
      </c>
      <c r="B241" s="66" t="s">
        <v>155</v>
      </c>
      <c r="C241" s="47"/>
      <c r="E241" s="57"/>
      <c r="F241" s="57"/>
    </row>
    <row r="242" spans="1:7" ht="15" hidden="1" customHeight="1" outlineLevel="1" x14ac:dyDescent="0.3">
      <c r="A242" s="89" t="s">
        <v>792</v>
      </c>
      <c r="B242" s="66" t="s">
        <v>155</v>
      </c>
      <c r="C242" s="47"/>
      <c r="E242" s="57"/>
      <c r="F242" s="57"/>
    </row>
    <row r="243" spans="1:7" ht="15" customHeight="1" collapsed="1" x14ac:dyDescent="0.3">
      <c r="A243" s="58"/>
      <c r="B243" s="60" t="s">
        <v>893</v>
      </c>
      <c r="C243" s="58" t="s">
        <v>144</v>
      </c>
      <c r="D243" s="58"/>
      <c r="E243" s="46"/>
      <c r="F243" s="58"/>
      <c r="G243" s="59"/>
    </row>
    <row r="244" spans="1:7" ht="15" customHeight="1" x14ac:dyDescent="0.3">
      <c r="A244" s="89" t="s">
        <v>793</v>
      </c>
      <c r="B244" s="89" t="s">
        <v>35</v>
      </c>
      <c r="C244" s="47">
        <v>1</v>
      </c>
      <c r="E244" s="52"/>
      <c r="F244" s="52"/>
    </row>
    <row r="245" spans="1:7" ht="15" customHeight="1" x14ac:dyDescent="0.3">
      <c r="A245" s="89" t="s">
        <v>794</v>
      </c>
      <c r="B245" s="89" t="s">
        <v>36</v>
      </c>
      <c r="C245" s="47">
        <v>0</v>
      </c>
      <c r="E245" s="52"/>
      <c r="F245" s="52"/>
    </row>
    <row r="246" spans="1:7" ht="15" customHeight="1" x14ac:dyDescent="0.3">
      <c r="A246" s="89" t="s">
        <v>795</v>
      </c>
      <c r="B246" s="89" t="s">
        <v>2</v>
      </c>
      <c r="C246" s="47">
        <v>0</v>
      </c>
      <c r="E246" s="52"/>
      <c r="F246" s="52"/>
    </row>
    <row r="247" spans="1:7" ht="15" hidden="1" customHeight="1" outlineLevel="1" x14ac:dyDescent="0.3">
      <c r="A247" s="89" t="s">
        <v>796</v>
      </c>
      <c r="C247" s="47"/>
      <c r="E247" s="52"/>
      <c r="F247" s="52"/>
    </row>
    <row r="248" spans="1:7" ht="15" hidden="1" customHeight="1" outlineLevel="1" x14ac:dyDescent="0.3">
      <c r="A248" s="89" t="s">
        <v>797</v>
      </c>
      <c r="C248" s="47"/>
      <c r="E248" s="52"/>
      <c r="F248" s="52"/>
    </row>
    <row r="249" spans="1:7" ht="15" hidden="1" customHeight="1" outlineLevel="1" x14ac:dyDescent="0.3">
      <c r="A249" s="89" t="s">
        <v>798</v>
      </c>
      <c r="C249" s="47"/>
      <c r="E249" s="52"/>
      <c r="F249" s="52"/>
    </row>
    <row r="250" spans="1:7" ht="15" hidden="1" customHeight="1" outlineLevel="1" x14ac:dyDescent="0.3">
      <c r="A250" s="89" t="s">
        <v>799</v>
      </c>
      <c r="C250" s="47"/>
      <c r="E250" s="52"/>
      <c r="F250" s="52"/>
    </row>
    <row r="251" spans="1:7" ht="15" hidden="1" customHeight="1" outlineLevel="1" x14ac:dyDescent="0.3">
      <c r="A251" s="89" t="s">
        <v>800</v>
      </c>
      <c r="C251" s="47"/>
      <c r="E251" s="52"/>
      <c r="F251" s="52"/>
    </row>
    <row r="252" spans="1:7" ht="15" hidden="1" customHeight="1" outlineLevel="1" x14ac:dyDescent="0.3">
      <c r="A252" s="89" t="s">
        <v>801</v>
      </c>
      <c r="C252" s="47"/>
      <c r="E252" s="52"/>
      <c r="F252" s="52"/>
    </row>
    <row r="253" spans="1:7" ht="18.75" customHeight="1" collapsed="1" x14ac:dyDescent="0.3">
      <c r="A253" s="37"/>
      <c r="B253" s="40" t="s">
        <v>222</v>
      </c>
      <c r="C253" s="109"/>
      <c r="D253" s="37"/>
      <c r="E253" s="37"/>
      <c r="F253" s="38"/>
      <c r="G253" s="38"/>
    </row>
    <row r="254" spans="1:7" ht="15" customHeight="1" x14ac:dyDescent="0.3">
      <c r="A254" s="58"/>
      <c r="B254" s="60" t="s">
        <v>894</v>
      </c>
      <c r="C254" s="58" t="s">
        <v>152</v>
      </c>
      <c r="D254" s="58" t="s">
        <v>57</v>
      </c>
      <c r="E254" s="58"/>
      <c r="F254" s="58" t="s">
        <v>145</v>
      </c>
      <c r="G254" s="58" t="s">
        <v>150</v>
      </c>
    </row>
    <row r="255" spans="1:7" ht="30" customHeight="1" x14ac:dyDescent="0.3">
      <c r="A255" s="89" t="s">
        <v>802</v>
      </c>
      <c r="B255" s="89" t="s">
        <v>89</v>
      </c>
      <c r="C255" s="112">
        <f>C13/D28</f>
        <v>12209147.122019544</v>
      </c>
      <c r="D255" s="126">
        <f>D28</f>
        <v>307</v>
      </c>
      <c r="E255" s="45"/>
      <c r="F255" s="47"/>
      <c r="G255" s="47"/>
    </row>
    <row r="256" spans="1:7" ht="15" customHeight="1" x14ac:dyDescent="0.3">
      <c r="A256" s="45"/>
      <c r="C256" s="112"/>
      <c r="D256" s="45"/>
      <c r="E256" s="45"/>
      <c r="F256" s="47"/>
      <c r="G256" s="47"/>
    </row>
    <row r="257" spans="1:7" ht="15" customHeight="1" x14ac:dyDescent="0.3">
      <c r="B257" s="89" t="s">
        <v>153</v>
      </c>
      <c r="C257" s="112"/>
      <c r="D257" s="45"/>
      <c r="E257" s="45"/>
      <c r="F257" s="47"/>
      <c r="G257" s="47"/>
    </row>
    <row r="258" spans="1:7" ht="15" customHeight="1" x14ac:dyDescent="0.3">
      <c r="A258" s="89" t="s">
        <v>803</v>
      </c>
      <c r="B258" s="85" t="s">
        <v>958</v>
      </c>
      <c r="C258" s="112">
        <v>285413.78000000003</v>
      </c>
      <c r="D258" s="89">
        <v>8</v>
      </c>
      <c r="E258" s="45"/>
      <c r="F258" s="47">
        <f t="shared" ref="F258:F268" si="12">IF($C$269=0,"",IF(C258="[for completion]","",C258/$C$269))</f>
        <v>7.6146725935331242E-5</v>
      </c>
      <c r="G258" s="47">
        <f t="shared" ref="G258:G268" si="13">IF($D$269=0,"",IF(D258="[for completion]","",D258/$D$269))</f>
        <v>2.6058631921824105E-2</v>
      </c>
    </row>
    <row r="259" spans="1:7" ht="15" customHeight="1" x14ac:dyDescent="0.3">
      <c r="A259" s="89" t="s">
        <v>804</v>
      </c>
      <c r="B259" s="85" t="s">
        <v>960</v>
      </c>
      <c r="C259" s="112">
        <v>3623370.45</v>
      </c>
      <c r="D259" s="89">
        <v>10</v>
      </c>
      <c r="E259" s="45"/>
      <c r="F259" s="47">
        <f t="shared" si="12"/>
        <v>9.6669402794191575E-4</v>
      </c>
      <c r="G259" s="47">
        <f t="shared" si="13"/>
        <v>3.2573289902280131E-2</v>
      </c>
    </row>
    <row r="260" spans="1:7" ht="15" customHeight="1" x14ac:dyDescent="0.3">
      <c r="A260" s="89" t="s">
        <v>805</v>
      </c>
      <c r="B260" s="85" t="s">
        <v>959</v>
      </c>
      <c r="C260" s="112">
        <v>20786222.190000001</v>
      </c>
      <c r="D260" s="89">
        <v>27</v>
      </c>
      <c r="E260" s="45"/>
      <c r="F260" s="47">
        <f t="shared" si="12"/>
        <v>5.5456424154882453E-3</v>
      </c>
      <c r="G260" s="47">
        <f t="shared" si="13"/>
        <v>8.7947882736156349E-2</v>
      </c>
    </row>
    <row r="261" spans="1:7" ht="15" customHeight="1" x14ac:dyDescent="0.3">
      <c r="A261" s="89" t="s">
        <v>806</v>
      </c>
      <c r="B261" s="85" t="s">
        <v>961</v>
      </c>
      <c r="C261" s="112">
        <v>280816820.25999999</v>
      </c>
      <c r="D261" s="89">
        <v>104</v>
      </c>
      <c r="E261" s="45"/>
      <c r="F261" s="47">
        <f t="shared" si="12"/>
        <v>7.4920283983378064E-2</v>
      </c>
      <c r="G261" s="47">
        <f t="shared" si="13"/>
        <v>0.33876221498371334</v>
      </c>
    </row>
    <row r="262" spans="1:7" ht="15" customHeight="1" x14ac:dyDescent="0.3">
      <c r="A262" s="89" t="s">
        <v>807</v>
      </c>
      <c r="B262" s="85" t="s">
        <v>962</v>
      </c>
      <c r="C262" s="112">
        <v>320438249.29000002</v>
      </c>
      <c r="D262" s="89">
        <v>45</v>
      </c>
      <c r="E262" s="45"/>
      <c r="F262" s="47">
        <f t="shared" si="12"/>
        <v>8.5491049338553241E-2</v>
      </c>
      <c r="G262" s="47">
        <f t="shared" si="13"/>
        <v>0.1465798045602606</v>
      </c>
    </row>
    <row r="263" spans="1:7" ht="15" customHeight="1" x14ac:dyDescent="0.3">
      <c r="A263" s="89" t="s">
        <v>808</v>
      </c>
      <c r="B263" s="85" t="s">
        <v>963</v>
      </c>
      <c r="C263" s="112">
        <v>421295313.97000003</v>
      </c>
      <c r="D263" s="89">
        <v>35</v>
      </c>
      <c r="E263" s="45"/>
      <c r="F263" s="47">
        <f t="shared" si="12"/>
        <v>0.11239912386400164</v>
      </c>
      <c r="G263" s="47">
        <f t="shared" si="13"/>
        <v>0.11400651465798045</v>
      </c>
    </row>
    <row r="264" spans="1:7" ht="15" customHeight="1" x14ac:dyDescent="0.3">
      <c r="A264" s="89" t="s">
        <v>809</v>
      </c>
      <c r="B264" s="85" t="s">
        <v>964</v>
      </c>
      <c r="C264" s="112">
        <v>429532773.47000003</v>
      </c>
      <c r="D264" s="89">
        <v>25</v>
      </c>
      <c r="E264" s="45"/>
      <c r="F264" s="47">
        <f t="shared" si="12"/>
        <v>0.11459682984354436</v>
      </c>
      <c r="G264" s="47">
        <f t="shared" si="13"/>
        <v>8.143322475570032E-2</v>
      </c>
    </row>
    <row r="265" spans="1:7" ht="15" customHeight="1" x14ac:dyDescent="0.3">
      <c r="A265" s="89" t="s">
        <v>810</v>
      </c>
      <c r="B265" s="85" t="s">
        <v>965</v>
      </c>
      <c r="C265" s="112">
        <v>461439709.91000003</v>
      </c>
      <c r="D265" s="89">
        <v>19</v>
      </c>
      <c r="E265" s="45"/>
      <c r="F265" s="47">
        <f t="shared" si="12"/>
        <v>0.12310941372976286</v>
      </c>
      <c r="G265" s="47">
        <f t="shared" si="13"/>
        <v>6.1889250814332247E-2</v>
      </c>
    </row>
    <row r="266" spans="1:7" ht="15" customHeight="1" x14ac:dyDescent="0.3">
      <c r="A266" s="89" t="s">
        <v>811</v>
      </c>
      <c r="B266" s="85" t="s">
        <v>966</v>
      </c>
      <c r="C266" s="112">
        <v>523047337.00999999</v>
      </c>
      <c r="D266" s="89">
        <v>15</v>
      </c>
      <c r="E266" s="45"/>
      <c r="F266" s="47">
        <f t="shared" si="12"/>
        <v>0.13954596804157565</v>
      </c>
      <c r="G266" s="47">
        <f t="shared" si="13"/>
        <v>4.8859934853420196E-2</v>
      </c>
    </row>
    <row r="267" spans="1:7" ht="15" customHeight="1" x14ac:dyDescent="0.3">
      <c r="A267" s="89" t="s">
        <v>812</v>
      </c>
      <c r="B267" s="85" t="s">
        <v>967</v>
      </c>
      <c r="C267" s="112">
        <v>271159698.66000003</v>
      </c>
      <c r="D267" s="89">
        <v>6</v>
      </c>
      <c r="E267" s="85"/>
      <c r="F267" s="47">
        <f t="shared" si="12"/>
        <v>7.2343820465045602E-2</v>
      </c>
      <c r="G267" s="47">
        <f t="shared" si="13"/>
        <v>1.9543973941368076E-2</v>
      </c>
    </row>
    <row r="268" spans="1:7" ht="15" customHeight="1" x14ac:dyDescent="0.3">
      <c r="A268" s="89" t="s">
        <v>813</v>
      </c>
      <c r="B268" s="85" t="s">
        <v>968</v>
      </c>
      <c r="C268" s="112">
        <v>1015783257.47</v>
      </c>
      <c r="D268" s="89">
        <v>13</v>
      </c>
      <c r="E268" s="85"/>
      <c r="F268" s="47">
        <f t="shared" si="12"/>
        <v>0.27100502756477313</v>
      </c>
      <c r="G268" s="47">
        <f t="shared" si="13"/>
        <v>4.2345276872964167E-2</v>
      </c>
    </row>
    <row r="269" spans="1:7" ht="15" customHeight="1" x14ac:dyDescent="0.3">
      <c r="A269" s="89" t="s">
        <v>814</v>
      </c>
      <c r="B269" s="56" t="s">
        <v>1</v>
      </c>
      <c r="C269" s="112">
        <f>SUM(C258:C268)</f>
        <v>3748208166.46</v>
      </c>
      <c r="D269" s="85">
        <f>SUM(D258:D268)</f>
        <v>307</v>
      </c>
      <c r="E269" s="57"/>
      <c r="F269" s="47">
        <f>SUM(F258:F268)</f>
        <v>1</v>
      </c>
      <c r="G269" s="47">
        <f>SUM(G258:G268)</f>
        <v>1.0000000000000002</v>
      </c>
    </row>
    <row r="270" spans="1:7" ht="15" customHeight="1" x14ac:dyDescent="0.3">
      <c r="A270" s="58"/>
      <c r="B270" s="60" t="s">
        <v>895</v>
      </c>
      <c r="C270" s="58" t="s">
        <v>152</v>
      </c>
      <c r="D270" s="58" t="s">
        <v>57</v>
      </c>
      <c r="E270" s="58"/>
      <c r="F270" s="58" t="s">
        <v>145</v>
      </c>
      <c r="G270" s="58" t="s">
        <v>150</v>
      </c>
    </row>
    <row r="271" spans="1:7" ht="15" customHeight="1" x14ac:dyDescent="0.3">
      <c r="A271" s="89" t="s">
        <v>815</v>
      </c>
      <c r="B271" s="89" t="s">
        <v>137</v>
      </c>
      <c r="C271" s="118">
        <v>67.571601849547392</v>
      </c>
      <c r="F271" s="47"/>
      <c r="G271" s="47"/>
    </row>
    <row r="272" spans="1:7" ht="15" customHeight="1" x14ac:dyDescent="0.3">
      <c r="C272" s="112"/>
      <c r="F272" s="47"/>
      <c r="G272" s="47"/>
    </row>
    <row r="273" spans="1:7" ht="15" customHeight="1" x14ac:dyDescent="0.3">
      <c r="B273" s="85" t="s">
        <v>241</v>
      </c>
      <c r="C273" s="112"/>
      <c r="F273" s="47"/>
      <c r="G273" s="47"/>
    </row>
    <row r="274" spans="1:7" ht="15" customHeight="1" x14ac:dyDescent="0.3">
      <c r="A274" s="89" t="s">
        <v>816</v>
      </c>
      <c r="B274" s="89" t="s">
        <v>169</v>
      </c>
      <c r="C274" s="112">
        <v>203832452.62</v>
      </c>
      <c r="D274" s="89">
        <v>74</v>
      </c>
      <c r="F274" s="47">
        <f t="shared" ref="F274:F281" si="14">IF($C$282=0,"",IF(C274="[for completion]","",C274/$C$282))</f>
        <v>5.4381305297808435E-2</v>
      </c>
      <c r="G274" s="47">
        <f t="shared" ref="G274:G281" si="15">IF($D$282=0,"",IF(D274="[for completion]","",D274/$D$282))</f>
        <v>0.24104234527687296</v>
      </c>
    </row>
    <row r="275" spans="1:7" ht="15" customHeight="1" x14ac:dyDescent="0.3">
      <c r="A275" s="89" t="s">
        <v>817</v>
      </c>
      <c r="B275" s="89" t="s">
        <v>171</v>
      </c>
      <c r="C275" s="112">
        <v>317662211.20999998</v>
      </c>
      <c r="D275" s="89">
        <v>25</v>
      </c>
      <c r="F275" s="47">
        <f t="shared" si="14"/>
        <v>8.4750418627366819E-2</v>
      </c>
      <c r="G275" s="47">
        <f t="shared" si="15"/>
        <v>8.143322475570032E-2</v>
      </c>
    </row>
    <row r="276" spans="1:7" ht="15" customHeight="1" x14ac:dyDescent="0.3">
      <c r="A276" s="89" t="s">
        <v>818</v>
      </c>
      <c r="B276" s="89" t="s">
        <v>172</v>
      </c>
      <c r="C276" s="112">
        <v>411887808.06999999</v>
      </c>
      <c r="D276" s="89">
        <v>41</v>
      </c>
      <c r="F276" s="47">
        <f t="shared" si="14"/>
        <v>0.10988925635339192</v>
      </c>
      <c r="G276" s="47">
        <f t="shared" si="15"/>
        <v>0.13355048859934854</v>
      </c>
    </row>
    <row r="277" spans="1:7" ht="15" customHeight="1" x14ac:dyDescent="0.3">
      <c r="A277" s="89" t="s">
        <v>819</v>
      </c>
      <c r="B277" s="89" t="s">
        <v>173</v>
      </c>
      <c r="C277" s="112">
        <v>864871266.42999995</v>
      </c>
      <c r="D277" s="89">
        <v>58</v>
      </c>
      <c r="F277" s="47">
        <f t="shared" si="14"/>
        <v>0.23074259166529398</v>
      </c>
      <c r="G277" s="47">
        <f t="shared" si="15"/>
        <v>0.18892508143322476</v>
      </c>
    </row>
    <row r="278" spans="1:7" ht="15" customHeight="1" x14ac:dyDescent="0.3">
      <c r="A278" s="89" t="s">
        <v>820</v>
      </c>
      <c r="B278" s="89" t="s">
        <v>174</v>
      </c>
      <c r="C278" s="112">
        <v>1103028111.3599999</v>
      </c>
      <c r="D278" s="89">
        <v>64</v>
      </c>
      <c r="F278" s="47">
        <f t="shared" si="14"/>
        <v>0.29428144392571354</v>
      </c>
      <c r="G278" s="47">
        <f t="shared" si="15"/>
        <v>0.20846905537459284</v>
      </c>
    </row>
    <row r="279" spans="1:7" ht="15" customHeight="1" x14ac:dyDescent="0.3">
      <c r="A279" s="89" t="s">
        <v>821</v>
      </c>
      <c r="B279" s="89" t="s">
        <v>175</v>
      </c>
      <c r="C279" s="112">
        <v>841035948.49000001</v>
      </c>
      <c r="D279" s="89">
        <v>44</v>
      </c>
      <c r="F279" s="47">
        <f t="shared" si="14"/>
        <v>0.2243834683505099</v>
      </c>
      <c r="G279" s="47">
        <f t="shared" si="15"/>
        <v>0.14332247557003258</v>
      </c>
    </row>
    <row r="280" spans="1:7" ht="15" customHeight="1" x14ac:dyDescent="0.3">
      <c r="A280" s="89" t="s">
        <v>822</v>
      </c>
      <c r="B280" s="89" t="s">
        <v>176</v>
      </c>
      <c r="C280" s="112">
        <v>5890368.2800000003</v>
      </c>
      <c r="D280" s="89">
        <v>1</v>
      </c>
      <c r="F280" s="47">
        <f t="shared" si="14"/>
        <v>1.5715157799154915E-3</v>
      </c>
      <c r="G280" s="47">
        <f t="shared" si="15"/>
        <v>3.2573289902280132E-3</v>
      </c>
    </row>
    <row r="281" spans="1:7" ht="15" customHeight="1" x14ac:dyDescent="0.3">
      <c r="A281" s="89" t="s">
        <v>823</v>
      </c>
      <c r="B281" s="89" t="s">
        <v>170</v>
      </c>
      <c r="C281" s="112">
        <f>SUM(C283:C288)</f>
        <v>0</v>
      </c>
      <c r="D281" s="89">
        <f>SUM(D283:D288)</f>
        <v>0</v>
      </c>
      <c r="F281" s="47">
        <f t="shared" si="14"/>
        <v>0</v>
      </c>
      <c r="G281" s="47">
        <f t="shared" si="15"/>
        <v>0</v>
      </c>
    </row>
    <row r="282" spans="1:7" ht="15" customHeight="1" x14ac:dyDescent="0.3">
      <c r="A282" s="89" t="s">
        <v>824</v>
      </c>
      <c r="B282" s="56" t="s">
        <v>1</v>
      </c>
      <c r="C282" s="112">
        <f>SUM(C274:C281)</f>
        <v>3748208166.4599996</v>
      </c>
      <c r="D282" s="89">
        <f>SUM(D274:D281)</f>
        <v>307</v>
      </c>
      <c r="F282" s="47">
        <f>SUM(F274:F281)</f>
        <v>1</v>
      </c>
      <c r="G282" s="47">
        <f>SUM(G274:G281)</f>
        <v>1</v>
      </c>
    </row>
    <row r="283" spans="1:7" ht="15" hidden="1" customHeight="1" outlineLevel="1" x14ac:dyDescent="0.3">
      <c r="A283" s="89" t="s">
        <v>825</v>
      </c>
      <c r="B283" s="66" t="s">
        <v>177</v>
      </c>
      <c r="C283" s="112">
        <v>0</v>
      </c>
      <c r="D283" s="89">
        <v>0</v>
      </c>
      <c r="F283" s="47">
        <f t="shared" ref="F283:F288" si="16">IF($C$282=0,"",IF(C283="[for completion]","",C283/$C$282))</f>
        <v>0</v>
      </c>
      <c r="G283" s="47">
        <f t="shared" ref="G283:G288" si="17">IF($D$282=0,"",IF(D283="[for completion]","",D283/$D$282))</f>
        <v>0</v>
      </c>
    </row>
    <row r="284" spans="1:7" ht="15" hidden="1" customHeight="1" outlineLevel="1" x14ac:dyDescent="0.3">
      <c r="A284" s="89" t="s">
        <v>826</v>
      </c>
      <c r="B284" s="66" t="s">
        <v>178</v>
      </c>
      <c r="C284" s="112">
        <v>0</v>
      </c>
      <c r="D284" s="89">
        <v>0</v>
      </c>
      <c r="F284" s="47">
        <f t="shared" si="16"/>
        <v>0</v>
      </c>
      <c r="G284" s="47">
        <f t="shared" si="17"/>
        <v>0</v>
      </c>
    </row>
    <row r="285" spans="1:7" ht="15" hidden="1" customHeight="1" outlineLevel="1" x14ac:dyDescent="0.3">
      <c r="A285" s="89" t="s">
        <v>827</v>
      </c>
      <c r="B285" s="66" t="s">
        <v>179</v>
      </c>
      <c r="C285" s="112">
        <v>0</v>
      </c>
      <c r="D285" s="89">
        <v>0</v>
      </c>
      <c r="F285" s="47">
        <f t="shared" si="16"/>
        <v>0</v>
      </c>
      <c r="G285" s="47">
        <f t="shared" si="17"/>
        <v>0</v>
      </c>
    </row>
    <row r="286" spans="1:7" ht="15" hidden="1" customHeight="1" outlineLevel="1" x14ac:dyDescent="0.3">
      <c r="A286" s="89" t="s">
        <v>828</v>
      </c>
      <c r="B286" s="66" t="s">
        <v>180</v>
      </c>
      <c r="C286" s="112">
        <v>0</v>
      </c>
      <c r="D286" s="89">
        <v>0</v>
      </c>
      <c r="F286" s="47">
        <f t="shared" si="16"/>
        <v>0</v>
      </c>
      <c r="G286" s="47">
        <f t="shared" si="17"/>
        <v>0</v>
      </c>
    </row>
    <row r="287" spans="1:7" ht="15" hidden="1" customHeight="1" outlineLevel="1" x14ac:dyDescent="0.3">
      <c r="A287" s="89" t="s">
        <v>829</v>
      </c>
      <c r="B287" s="66" t="s">
        <v>181</v>
      </c>
      <c r="C287" s="112">
        <v>0</v>
      </c>
      <c r="D287" s="89">
        <v>0</v>
      </c>
      <c r="F287" s="47">
        <f t="shared" si="16"/>
        <v>0</v>
      </c>
      <c r="G287" s="47">
        <f t="shared" si="17"/>
        <v>0</v>
      </c>
    </row>
    <row r="288" spans="1:7" ht="15" hidden="1" customHeight="1" outlineLevel="1" x14ac:dyDescent="0.3">
      <c r="A288" s="89" t="s">
        <v>830</v>
      </c>
      <c r="B288" s="66" t="s">
        <v>182</v>
      </c>
      <c r="C288" s="112">
        <v>0</v>
      </c>
      <c r="D288" s="89">
        <v>0</v>
      </c>
      <c r="F288" s="47">
        <f t="shared" si="16"/>
        <v>0</v>
      </c>
      <c r="G288" s="47">
        <f t="shared" si="17"/>
        <v>0</v>
      </c>
    </row>
    <row r="289" spans="1:7" ht="15" hidden="1" customHeight="1" outlineLevel="1" x14ac:dyDescent="0.3">
      <c r="A289" s="89" t="s">
        <v>831</v>
      </c>
      <c r="B289" s="66"/>
      <c r="C289" s="112"/>
      <c r="F289" s="47"/>
      <c r="G289" s="47"/>
    </row>
    <row r="290" spans="1:7" ht="15" hidden="1" customHeight="1" outlineLevel="1" x14ac:dyDescent="0.3">
      <c r="A290" s="89" t="s">
        <v>832</v>
      </c>
      <c r="B290" s="66"/>
      <c r="C290" s="112"/>
      <c r="F290" s="47"/>
      <c r="G290" s="47"/>
    </row>
    <row r="291" spans="1:7" ht="15" hidden="1" customHeight="1" outlineLevel="1" x14ac:dyDescent="0.3">
      <c r="A291" s="89" t="s">
        <v>833</v>
      </c>
      <c r="B291" s="66"/>
      <c r="C291" s="112"/>
      <c r="F291" s="47"/>
      <c r="G291" s="47"/>
    </row>
    <row r="292" spans="1:7" ht="15" customHeight="1" collapsed="1" x14ac:dyDescent="0.3">
      <c r="A292" s="58"/>
      <c r="B292" s="60" t="s">
        <v>896</v>
      </c>
      <c r="C292" s="58" t="s">
        <v>152</v>
      </c>
      <c r="D292" s="58" t="s">
        <v>57</v>
      </c>
      <c r="E292" s="58"/>
      <c r="F292" s="58" t="s">
        <v>145</v>
      </c>
      <c r="G292" s="58" t="s">
        <v>150</v>
      </c>
    </row>
    <row r="293" spans="1:7" ht="15" customHeight="1" x14ac:dyDescent="0.3">
      <c r="A293" s="89" t="s">
        <v>834</v>
      </c>
      <c r="B293" s="89" t="s">
        <v>137</v>
      </c>
      <c r="C293" s="112" t="s">
        <v>186</v>
      </c>
      <c r="F293" s="47"/>
      <c r="G293" s="47"/>
    </row>
    <row r="294" spans="1:7" ht="15" customHeight="1" x14ac:dyDescent="0.3">
      <c r="C294" s="112"/>
      <c r="F294" s="47"/>
      <c r="G294" s="47"/>
    </row>
    <row r="295" spans="1:7" ht="15" customHeight="1" x14ac:dyDescent="0.3">
      <c r="B295" s="85" t="s">
        <v>241</v>
      </c>
      <c r="C295" s="112"/>
      <c r="F295" s="47"/>
      <c r="G295" s="47"/>
    </row>
    <row r="296" spans="1:7" ht="15" customHeight="1" x14ac:dyDescent="0.3">
      <c r="A296" s="89" t="s">
        <v>835</v>
      </c>
      <c r="B296" s="89" t="s">
        <v>169</v>
      </c>
      <c r="C296" s="112" t="s">
        <v>186</v>
      </c>
      <c r="D296" s="112" t="s">
        <v>186</v>
      </c>
      <c r="F296" s="47" t="str">
        <f t="shared" ref="F296:F303" si="18">IF($C$304=0,"",IF(C296="[Mark as ND1 if not relevant]","",C296/$C$304))</f>
        <v/>
      </c>
      <c r="G296" s="47" t="str">
        <f t="shared" ref="G296:G303" si="19">IF($D$304=0,"",IF(D296="[Mark as ND1 if not relevant]","",D296/$D$304))</f>
        <v/>
      </c>
    </row>
    <row r="297" spans="1:7" ht="15" customHeight="1" x14ac:dyDescent="0.3">
      <c r="A297" s="89" t="s">
        <v>836</v>
      </c>
      <c r="B297" s="89" t="s">
        <v>171</v>
      </c>
      <c r="C297" s="112" t="s">
        <v>186</v>
      </c>
      <c r="D297" s="112" t="s">
        <v>186</v>
      </c>
      <c r="F297" s="47" t="str">
        <f t="shared" si="18"/>
        <v/>
      </c>
      <c r="G297" s="47" t="str">
        <f t="shared" si="19"/>
        <v/>
      </c>
    </row>
    <row r="298" spans="1:7" ht="15" customHeight="1" x14ac:dyDescent="0.3">
      <c r="A298" s="89" t="s">
        <v>837</v>
      </c>
      <c r="B298" s="89" t="s">
        <v>172</v>
      </c>
      <c r="C298" s="112" t="s">
        <v>186</v>
      </c>
      <c r="D298" s="112" t="s">
        <v>186</v>
      </c>
      <c r="F298" s="47" t="str">
        <f t="shared" si="18"/>
        <v/>
      </c>
      <c r="G298" s="47" t="str">
        <f t="shared" si="19"/>
        <v/>
      </c>
    </row>
    <row r="299" spans="1:7" ht="15" customHeight="1" x14ac:dyDescent="0.3">
      <c r="A299" s="89" t="s">
        <v>838</v>
      </c>
      <c r="B299" s="89" t="s">
        <v>173</v>
      </c>
      <c r="C299" s="112" t="s">
        <v>186</v>
      </c>
      <c r="D299" s="112" t="s">
        <v>186</v>
      </c>
      <c r="F299" s="47" t="str">
        <f t="shared" si="18"/>
        <v/>
      </c>
      <c r="G299" s="47" t="str">
        <f t="shared" si="19"/>
        <v/>
      </c>
    </row>
    <row r="300" spans="1:7" ht="15" customHeight="1" x14ac:dyDescent="0.3">
      <c r="A300" s="89" t="s">
        <v>839</v>
      </c>
      <c r="B300" s="89" t="s">
        <v>174</v>
      </c>
      <c r="C300" s="112" t="s">
        <v>186</v>
      </c>
      <c r="D300" s="112" t="s">
        <v>186</v>
      </c>
      <c r="F300" s="47" t="str">
        <f t="shared" si="18"/>
        <v/>
      </c>
      <c r="G300" s="47" t="str">
        <f t="shared" si="19"/>
        <v/>
      </c>
    </row>
    <row r="301" spans="1:7" ht="15" customHeight="1" x14ac:dyDescent="0.3">
      <c r="A301" s="89" t="s">
        <v>840</v>
      </c>
      <c r="B301" s="89" t="s">
        <v>175</v>
      </c>
      <c r="C301" s="112" t="s">
        <v>186</v>
      </c>
      <c r="D301" s="112" t="s">
        <v>186</v>
      </c>
      <c r="F301" s="47" t="str">
        <f t="shared" si="18"/>
        <v/>
      </c>
      <c r="G301" s="47" t="str">
        <f t="shared" si="19"/>
        <v/>
      </c>
    </row>
    <row r="302" spans="1:7" ht="15" customHeight="1" x14ac:dyDescent="0.3">
      <c r="A302" s="89" t="s">
        <v>841</v>
      </c>
      <c r="B302" s="89" t="s">
        <v>176</v>
      </c>
      <c r="C302" s="112" t="s">
        <v>186</v>
      </c>
      <c r="D302" s="112" t="s">
        <v>186</v>
      </c>
      <c r="F302" s="47" t="str">
        <f t="shared" si="18"/>
        <v/>
      </c>
      <c r="G302" s="47" t="str">
        <f t="shared" si="19"/>
        <v/>
      </c>
    </row>
    <row r="303" spans="1:7" ht="15" customHeight="1" x14ac:dyDescent="0.3">
      <c r="A303" s="89" t="s">
        <v>842</v>
      </c>
      <c r="B303" s="89" t="s">
        <v>170</v>
      </c>
      <c r="C303" s="112" t="s">
        <v>186</v>
      </c>
      <c r="D303" s="112" t="s">
        <v>186</v>
      </c>
      <c r="F303" s="47" t="str">
        <f t="shared" si="18"/>
        <v/>
      </c>
      <c r="G303" s="47" t="str">
        <f t="shared" si="19"/>
        <v/>
      </c>
    </row>
    <row r="304" spans="1:7" ht="15" customHeight="1" x14ac:dyDescent="0.3">
      <c r="A304" s="89" t="s">
        <v>843</v>
      </c>
      <c r="B304" s="56" t="s">
        <v>1</v>
      </c>
      <c r="C304" s="112">
        <f>SUM(C296:C303)</f>
        <v>0</v>
      </c>
      <c r="D304" s="89">
        <f>SUM(D296:D303)</f>
        <v>0</v>
      </c>
      <c r="F304" s="47">
        <f>SUM(F296:F303)</f>
        <v>0</v>
      </c>
      <c r="G304" s="47">
        <f>SUM(G296:G303)</f>
        <v>0</v>
      </c>
    </row>
    <row r="305" spans="1:7" ht="15" hidden="1" customHeight="1" outlineLevel="1" x14ac:dyDescent="0.3">
      <c r="A305" s="89" t="s">
        <v>844</v>
      </c>
      <c r="B305" s="66" t="s">
        <v>177</v>
      </c>
      <c r="C305" s="112"/>
      <c r="F305" s="47" t="str">
        <f t="shared" ref="F305:F310" si="20">IF($C$304=0,"",IF(C305="[for completion]","",C305/$C$304))</f>
        <v/>
      </c>
      <c r="G305" s="47">
        <f>0</f>
        <v>0</v>
      </c>
    </row>
    <row r="306" spans="1:7" ht="15" hidden="1" customHeight="1" outlineLevel="1" x14ac:dyDescent="0.3">
      <c r="A306" s="89" t="s">
        <v>845</v>
      </c>
      <c r="B306" s="66" t="s">
        <v>178</v>
      </c>
      <c r="C306" s="112"/>
      <c r="F306" s="47" t="str">
        <f t="shared" si="20"/>
        <v/>
      </c>
      <c r="G306" s="47">
        <f>0</f>
        <v>0</v>
      </c>
    </row>
    <row r="307" spans="1:7" ht="15" hidden="1" customHeight="1" outlineLevel="1" x14ac:dyDescent="0.3">
      <c r="A307" s="89" t="s">
        <v>846</v>
      </c>
      <c r="B307" s="66" t="s">
        <v>179</v>
      </c>
      <c r="C307" s="112"/>
      <c r="F307" s="47" t="str">
        <f t="shared" si="20"/>
        <v/>
      </c>
      <c r="G307" s="47">
        <f>0</f>
        <v>0</v>
      </c>
    </row>
    <row r="308" spans="1:7" ht="15" hidden="1" customHeight="1" outlineLevel="1" x14ac:dyDescent="0.3">
      <c r="A308" s="89" t="s">
        <v>847</v>
      </c>
      <c r="B308" s="66" t="s">
        <v>180</v>
      </c>
      <c r="C308" s="112"/>
      <c r="F308" s="47" t="str">
        <f t="shared" si="20"/>
        <v/>
      </c>
      <c r="G308" s="47">
        <f>0</f>
        <v>0</v>
      </c>
    </row>
    <row r="309" spans="1:7" ht="15" hidden="1" customHeight="1" outlineLevel="1" x14ac:dyDescent="0.3">
      <c r="A309" s="89" t="s">
        <v>848</v>
      </c>
      <c r="B309" s="66" t="s">
        <v>181</v>
      </c>
      <c r="C309" s="112"/>
      <c r="F309" s="47" t="str">
        <f t="shared" si="20"/>
        <v/>
      </c>
      <c r="G309" s="47">
        <f>0</f>
        <v>0</v>
      </c>
    </row>
    <row r="310" spans="1:7" ht="15" hidden="1" customHeight="1" outlineLevel="1" x14ac:dyDescent="0.3">
      <c r="A310" s="89" t="s">
        <v>849</v>
      </c>
      <c r="B310" s="66" t="s">
        <v>182</v>
      </c>
      <c r="C310" s="112"/>
      <c r="F310" s="47" t="str">
        <f t="shared" si="20"/>
        <v/>
      </c>
      <c r="G310" s="47">
        <f>0</f>
        <v>0</v>
      </c>
    </row>
    <row r="311" spans="1:7" ht="15" hidden="1" customHeight="1" outlineLevel="1" x14ac:dyDescent="0.3">
      <c r="A311" s="89" t="s">
        <v>850</v>
      </c>
      <c r="B311" s="66"/>
      <c r="C311" s="112"/>
      <c r="F311" s="47"/>
      <c r="G311" s="47"/>
    </row>
    <row r="312" spans="1:7" ht="15" hidden="1" customHeight="1" outlineLevel="1" x14ac:dyDescent="0.3">
      <c r="A312" s="89" t="s">
        <v>851</v>
      </c>
      <c r="B312" s="66"/>
      <c r="C312" s="112"/>
      <c r="F312" s="47"/>
      <c r="G312" s="47"/>
    </row>
    <row r="313" spans="1:7" ht="15" hidden="1" customHeight="1" outlineLevel="1" x14ac:dyDescent="0.3">
      <c r="A313" s="89" t="s">
        <v>852</v>
      </c>
      <c r="B313" s="66"/>
      <c r="C313" s="112"/>
      <c r="F313" s="47"/>
      <c r="G313" s="47"/>
    </row>
    <row r="314" spans="1:7" ht="15" customHeight="1" collapsed="1" x14ac:dyDescent="0.3">
      <c r="A314" s="58"/>
      <c r="B314" s="60" t="s">
        <v>897</v>
      </c>
      <c r="C314" s="58" t="s">
        <v>138</v>
      </c>
      <c r="D314" s="58"/>
      <c r="E314" s="58"/>
      <c r="F314" s="58"/>
      <c r="G314" s="59"/>
    </row>
    <row r="315" spans="1:7" ht="15" customHeight="1" x14ac:dyDescent="0.3">
      <c r="A315" s="89" t="s">
        <v>853</v>
      </c>
      <c r="B315" s="85" t="s">
        <v>28</v>
      </c>
      <c r="C315" s="47">
        <v>7.8579733232418694E-2</v>
      </c>
      <c r="G315" s="89"/>
    </row>
    <row r="316" spans="1:7" ht="15" customHeight="1" x14ac:dyDescent="0.3">
      <c r="A316" s="89" t="s">
        <v>854</v>
      </c>
      <c r="B316" s="85" t="s">
        <v>29</v>
      </c>
      <c r="C316" s="47">
        <v>0.40459370863125282</v>
      </c>
      <c r="G316" s="89"/>
    </row>
    <row r="317" spans="1:7" ht="15" customHeight="1" x14ac:dyDescent="0.3">
      <c r="A317" s="89" t="s">
        <v>855</v>
      </c>
      <c r="B317" s="85" t="s">
        <v>139</v>
      </c>
      <c r="C317" s="47">
        <v>4.0346828242687427E-2</v>
      </c>
      <c r="G317" s="89"/>
    </row>
    <row r="318" spans="1:7" ht="15" customHeight="1" x14ac:dyDescent="0.3">
      <c r="A318" s="89" t="s">
        <v>856</v>
      </c>
      <c r="B318" s="85" t="s">
        <v>30</v>
      </c>
      <c r="C318" s="47">
        <v>0.36228863392678168</v>
      </c>
      <c r="G318" s="89"/>
    </row>
    <row r="319" spans="1:7" ht="15" customHeight="1" x14ac:dyDescent="0.3">
      <c r="A319" s="89" t="s">
        <v>857</v>
      </c>
      <c r="B319" s="85" t="s">
        <v>75</v>
      </c>
      <c r="C319" s="47">
        <v>5.6325887110318537E-2</v>
      </c>
      <c r="G319" s="89"/>
    </row>
    <row r="320" spans="1:7" ht="15" customHeight="1" x14ac:dyDescent="0.3">
      <c r="A320" s="89" t="s">
        <v>858</v>
      </c>
      <c r="B320" s="85" t="s">
        <v>128</v>
      </c>
      <c r="C320" s="47">
        <v>0</v>
      </c>
      <c r="G320" s="89"/>
    </row>
    <row r="321" spans="1:7" ht="15" customHeight="1" x14ac:dyDescent="0.3">
      <c r="A321" s="89" t="s">
        <v>859</v>
      </c>
      <c r="B321" s="85" t="s">
        <v>204</v>
      </c>
      <c r="C321" s="47">
        <v>3.902034320792061E-2</v>
      </c>
      <c r="G321" s="89"/>
    </row>
    <row r="322" spans="1:7" ht="15" customHeight="1" x14ac:dyDescent="0.3">
      <c r="A322" s="89" t="s">
        <v>860</v>
      </c>
      <c r="B322" s="85" t="s">
        <v>31</v>
      </c>
      <c r="C322" s="47">
        <v>0</v>
      </c>
      <c r="G322" s="89"/>
    </row>
    <row r="323" spans="1:7" ht="15" customHeight="1" x14ac:dyDescent="0.3">
      <c r="A323" s="89" t="s">
        <v>861</v>
      </c>
      <c r="B323" s="85" t="s">
        <v>205</v>
      </c>
      <c r="C323" s="47">
        <v>6.2261725292703405E-3</v>
      </c>
      <c r="G323" s="89"/>
    </row>
    <row r="324" spans="1:7" ht="15" customHeight="1" x14ac:dyDescent="0.3">
      <c r="A324" s="89" t="s">
        <v>862</v>
      </c>
      <c r="B324" s="85" t="s">
        <v>2</v>
      </c>
      <c r="C324" s="47">
        <v>1.2618693119349926E-2</v>
      </c>
      <c r="G324" s="89"/>
    </row>
    <row r="325" spans="1:7" ht="15" hidden="1" customHeight="1" outlineLevel="1" x14ac:dyDescent="0.3">
      <c r="A325" s="89" t="s">
        <v>863</v>
      </c>
      <c r="B325" s="66" t="s">
        <v>160</v>
      </c>
      <c r="C325" s="47"/>
      <c r="G325" s="89"/>
    </row>
    <row r="326" spans="1:7" ht="15" hidden="1" customHeight="1" outlineLevel="1" x14ac:dyDescent="0.3">
      <c r="A326" s="89" t="s">
        <v>864</v>
      </c>
      <c r="B326" s="66" t="s">
        <v>155</v>
      </c>
      <c r="C326" s="47"/>
      <c r="G326" s="89"/>
    </row>
    <row r="327" spans="1:7" ht="15" hidden="1" customHeight="1" outlineLevel="1" x14ac:dyDescent="0.3">
      <c r="A327" s="89" t="s">
        <v>865</v>
      </c>
      <c r="B327" s="66" t="s">
        <v>155</v>
      </c>
      <c r="C327" s="47"/>
      <c r="G327" s="89"/>
    </row>
    <row r="328" spans="1:7" ht="15" hidden="1" customHeight="1" outlineLevel="1" x14ac:dyDescent="0.3">
      <c r="A328" s="89" t="s">
        <v>866</v>
      </c>
      <c r="B328" s="66" t="s">
        <v>155</v>
      </c>
      <c r="C328" s="47"/>
      <c r="G328" s="89"/>
    </row>
    <row r="329" spans="1:7" ht="15" hidden="1" customHeight="1" outlineLevel="1" x14ac:dyDescent="0.3">
      <c r="A329" s="89" t="s">
        <v>867</v>
      </c>
      <c r="B329" s="66" t="s">
        <v>155</v>
      </c>
      <c r="C329" s="47"/>
      <c r="G329" s="89"/>
    </row>
    <row r="330" spans="1:7" ht="15" hidden="1" customHeight="1" outlineLevel="1" x14ac:dyDescent="0.3">
      <c r="A330" s="89" t="s">
        <v>868</v>
      </c>
      <c r="B330" s="66" t="s">
        <v>155</v>
      </c>
      <c r="C330" s="47"/>
      <c r="G330" s="89"/>
    </row>
    <row r="331" spans="1:7" ht="15" hidden="1" customHeight="1" outlineLevel="1" x14ac:dyDescent="0.3">
      <c r="A331" s="89" t="s">
        <v>869</v>
      </c>
      <c r="B331" s="66" t="s">
        <v>155</v>
      </c>
      <c r="C331" s="47"/>
      <c r="G331" s="89"/>
    </row>
    <row r="332" spans="1:7" ht="15" hidden="1" customHeight="1" outlineLevel="1" x14ac:dyDescent="0.3">
      <c r="A332" s="89" t="s">
        <v>870</v>
      </c>
      <c r="B332" s="66" t="s">
        <v>155</v>
      </c>
      <c r="C332" s="47"/>
      <c r="G332" s="89"/>
    </row>
    <row r="333" spans="1:7" ht="15" hidden="1" customHeight="1" outlineLevel="1" x14ac:dyDescent="0.3">
      <c r="A333" s="89" t="s">
        <v>871</v>
      </c>
      <c r="B333" s="66" t="s">
        <v>155</v>
      </c>
      <c r="C333" s="47"/>
      <c r="G333" s="89"/>
    </row>
    <row r="334" spans="1:7" ht="15" hidden="1" customHeight="1" outlineLevel="1" x14ac:dyDescent="0.3">
      <c r="A334" s="89" t="s">
        <v>872</v>
      </c>
      <c r="B334" s="66" t="s">
        <v>155</v>
      </c>
      <c r="C334" s="47"/>
      <c r="G334" s="89"/>
    </row>
    <row r="335" spans="1:7" ht="15" hidden="1" customHeight="1" outlineLevel="1" x14ac:dyDescent="0.3">
      <c r="A335" s="89" t="s">
        <v>873</v>
      </c>
      <c r="B335" s="66" t="s">
        <v>155</v>
      </c>
      <c r="C335" s="47"/>
      <c r="G335" s="89"/>
    </row>
    <row r="336" spans="1:7" ht="15" hidden="1" customHeight="1" outlineLevel="1" x14ac:dyDescent="0.3">
      <c r="A336" s="89" t="s">
        <v>874</v>
      </c>
      <c r="B336" s="66" t="s">
        <v>155</v>
      </c>
      <c r="C336" s="47"/>
    </row>
    <row r="337" spans="1:3" ht="15" hidden="1" customHeight="1" outlineLevel="1" x14ac:dyDescent="0.3">
      <c r="A337" s="89" t="s">
        <v>875</v>
      </c>
      <c r="B337" s="66" t="s">
        <v>155</v>
      </c>
      <c r="C337" s="47"/>
    </row>
    <row r="338" spans="1:3" ht="15" hidden="1" customHeight="1" outlineLevel="1" x14ac:dyDescent="0.3">
      <c r="A338" s="89" t="s">
        <v>876</v>
      </c>
      <c r="B338" s="66" t="s">
        <v>155</v>
      </c>
      <c r="C338" s="47"/>
    </row>
    <row r="339" spans="1:3" ht="15" hidden="1" customHeight="1" outlineLevel="1" x14ac:dyDescent="0.3">
      <c r="A339" s="89" t="s">
        <v>877</v>
      </c>
      <c r="B339" s="66" t="s">
        <v>155</v>
      </c>
      <c r="C339" s="47"/>
    </row>
    <row r="340" spans="1:3" ht="15" hidden="1" customHeight="1" outlineLevel="1" x14ac:dyDescent="0.3">
      <c r="A340" s="89" t="s">
        <v>878</v>
      </c>
      <c r="B340" s="66" t="s">
        <v>155</v>
      </c>
      <c r="C340" s="47"/>
    </row>
    <row r="341" spans="1:3" ht="15" hidden="1" customHeight="1" outlineLevel="1" x14ac:dyDescent="0.3">
      <c r="A341" s="89" t="s">
        <v>879</v>
      </c>
      <c r="B341" s="66" t="s">
        <v>155</v>
      </c>
      <c r="C341" s="47"/>
    </row>
    <row r="342" spans="1:3" collapsed="1" x14ac:dyDescent="0.3"/>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83" location="'2. Harmonised Glossary'!A288" display="Loan to Value (LTV) Information - Un-indexed"/>
    <hyperlink ref="B205" location="'2. Harmonised Glossary'!A11" display="Loan to Value (LTV) Information - Indexed"/>
    <hyperlink ref="B270" location="'2. Harmonised Glossary'!A11" display="Loan to Value (LTV) Information - Un-indexed"/>
    <hyperlink ref="B292" location="'2. Harmonised Glossary'!A11" display="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30" location="'2. Harmonised Glossary'!A9" display="Breakdown by Interest Rate"/>
    <hyperlink ref="B160" location="'2. Harmonised Glossary'!A14" display="Non-Performing Loans (NPLs)"/>
    <hyperlink ref="B183" location="'2. Harmonised Glossary'!A288" display="Loan to Value (LTV) Information - Un-indexed"/>
    <hyperlink ref="B205" location="'2. Harmonised Glossary'!A11" display="Loan to Value (LTV) Information - Indexed"/>
    <hyperlink ref="B270" location="'2. Harmonised Glossary'!A11" display="Loan to Value (LTV) Information - Un-indexed"/>
    <hyperlink ref="B29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heetViews>
  <sheetFormatPr defaultColWidth="11.44140625" defaultRowHeight="14.4" outlineLevelRow="1" x14ac:dyDescent="0.3"/>
  <cols>
    <col min="1" max="1" width="16.33203125" style="50" customWidth="1" collapsed="1"/>
    <col min="2" max="2" width="89.88671875" style="4" bestFit="1" customWidth="1" collapsed="1"/>
    <col min="3" max="3" width="134.6640625" style="13" customWidth="1" collapsed="1"/>
    <col min="4" max="13" width="11.44140625" style="13" collapsed="1"/>
  </cols>
  <sheetData>
    <row r="1" spans="1:13" ht="31.2" x14ac:dyDescent="0.3">
      <c r="A1" s="19" t="s">
        <v>245</v>
      </c>
      <c r="B1" s="19"/>
      <c r="C1" s="2"/>
    </row>
    <row r="2" spans="1:13" x14ac:dyDescent="0.3">
      <c r="B2" s="2"/>
      <c r="C2" s="2"/>
    </row>
    <row r="3" spans="1:13" x14ac:dyDescent="0.3">
      <c r="A3" s="77" t="s">
        <v>64</v>
      </c>
      <c r="B3" s="41"/>
      <c r="C3" s="2"/>
    </row>
    <row r="4" spans="1:13" x14ac:dyDescent="0.3">
      <c r="C4" s="2"/>
    </row>
    <row r="5" spans="1:13" ht="18" x14ac:dyDescent="0.3">
      <c r="A5" s="18" t="s">
        <v>218</v>
      </c>
      <c r="B5" s="18" t="s">
        <v>928</v>
      </c>
      <c r="C5" s="17" t="s">
        <v>62</v>
      </c>
    </row>
    <row r="6" spans="1:13" x14ac:dyDescent="0.3">
      <c r="A6" s="71" t="s">
        <v>899</v>
      </c>
      <c r="B6" s="11" t="s">
        <v>235</v>
      </c>
      <c r="C6" s="4" t="s">
        <v>54</v>
      </c>
    </row>
    <row r="7" spans="1:13" s="83" customFormat="1" x14ac:dyDescent="0.3">
      <c r="A7" s="88" t="s">
        <v>900</v>
      </c>
      <c r="B7" s="45" t="s">
        <v>236</v>
      </c>
      <c r="C7" s="89" t="s">
        <v>54</v>
      </c>
      <c r="D7" s="86"/>
      <c r="E7" s="86"/>
      <c r="F7" s="86"/>
      <c r="G7" s="86"/>
      <c r="H7" s="86"/>
      <c r="I7" s="86"/>
      <c r="J7" s="86"/>
      <c r="K7" s="86"/>
      <c r="L7" s="86"/>
      <c r="M7" s="86"/>
    </row>
    <row r="8" spans="1:13" s="83" customFormat="1" x14ac:dyDescent="0.3">
      <c r="A8" s="88" t="s">
        <v>901</v>
      </c>
      <c r="B8" s="45" t="s">
        <v>237</v>
      </c>
      <c r="C8" s="89" t="s">
        <v>54</v>
      </c>
      <c r="D8" s="86"/>
      <c r="E8" s="86"/>
      <c r="F8" s="86"/>
      <c r="G8" s="86"/>
      <c r="H8" s="86"/>
      <c r="I8" s="86"/>
      <c r="J8" s="86"/>
      <c r="K8" s="86"/>
      <c r="L8" s="86"/>
      <c r="M8" s="86"/>
    </row>
    <row r="9" spans="1:13" x14ac:dyDescent="0.3">
      <c r="A9" s="88" t="s">
        <v>902</v>
      </c>
      <c r="B9" s="11" t="s">
        <v>63</v>
      </c>
      <c r="C9" s="4" t="s">
        <v>54</v>
      </c>
    </row>
    <row r="10" spans="1:13" ht="44.25" customHeight="1" x14ac:dyDescent="0.3">
      <c r="A10" s="88" t="s">
        <v>903</v>
      </c>
      <c r="B10" s="45" t="s">
        <v>243</v>
      </c>
      <c r="C10" s="89" t="s">
        <v>54</v>
      </c>
    </row>
    <row r="11" spans="1:13" s="83" customFormat="1" ht="54.75" customHeight="1" x14ac:dyDescent="0.3">
      <c r="A11" s="88" t="s">
        <v>904</v>
      </c>
      <c r="B11" s="45" t="s">
        <v>244</v>
      </c>
      <c r="C11" s="89" t="s">
        <v>54</v>
      </c>
      <c r="D11" s="86"/>
      <c r="E11" s="86"/>
      <c r="F11" s="86"/>
      <c r="G11" s="86"/>
      <c r="H11" s="86"/>
      <c r="I11" s="86"/>
      <c r="J11" s="86"/>
      <c r="K11" s="86"/>
      <c r="L11" s="86"/>
      <c r="M11" s="86"/>
    </row>
    <row r="12" spans="1:13" x14ac:dyDescent="0.3">
      <c r="A12" s="88" t="s">
        <v>905</v>
      </c>
      <c r="B12" s="11" t="s">
        <v>239</v>
      </c>
      <c r="C12" s="4" t="s">
        <v>54</v>
      </c>
    </row>
    <row r="13" spans="1:13" s="83" customFormat="1" x14ac:dyDescent="0.3">
      <c r="A13" s="88" t="s">
        <v>906</v>
      </c>
      <c r="B13" s="45" t="s">
        <v>251</v>
      </c>
      <c r="C13" s="89"/>
      <c r="D13" s="86"/>
      <c r="E13" s="86"/>
      <c r="F13" s="86"/>
      <c r="G13" s="86"/>
      <c r="H13" s="86"/>
      <c r="I13" s="86"/>
      <c r="J13" s="86"/>
      <c r="K13" s="86"/>
      <c r="L13" s="86"/>
      <c r="M13" s="86"/>
    </row>
    <row r="14" spans="1:13" s="83" customFormat="1" ht="28.8" x14ac:dyDescent="0.3">
      <c r="A14" s="88" t="s">
        <v>907</v>
      </c>
      <c r="B14" s="45" t="s">
        <v>252</v>
      </c>
      <c r="C14" s="89"/>
      <c r="D14" s="86"/>
      <c r="E14" s="86"/>
      <c r="F14" s="86"/>
      <c r="G14" s="86"/>
      <c r="H14" s="86"/>
      <c r="I14" s="86"/>
      <c r="J14" s="86"/>
      <c r="K14" s="86"/>
      <c r="L14" s="86"/>
      <c r="M14" s="86"/>
    </row>
    <row r="15" spans="1:13" s="83" customFormat="1" x14ac:dyDescent="0.3">
      <c r="A15" s="88" t="s">
        <v>908</v>
      </c>
      <c r="B15" s="45" t="s">
        <v>238</v>
      </c>
      <c r="C15" s="89"/>
      <c r="D15" s="86"/>
      <c r="E15" s="86"/>
      <c r="F15" s="86"/>
      <c r="G15" s="86"/>
      <c r="H15" s="86"/>
      <c r="I15" s="86"/>
      <c r="J15" s="86"/>
      <c r="K15" s="86"/>
      <c r="L15" s="86"/>
      <c r="M15" s="86"/>
    </row>
    <row r="16" spans="1:13" ht="28.8" x14ac:dyDescent="0.3">
      <c r="A16" s="88" t="s">
        <v>909</v>
      </c>
      <c r="B16" s="12" t="s">
        <v>253</v>
      </c>
      <c r="C16" s="4" t="s">
        <v>54</v>
      </c>
    </row>
    <row r="17" spans="1:13" ht="30" customHeight="1" x14ac:dyDescent="0.3">
      <c r="A17" s="88" t="s">
        <v>910</v>
      </c>
      <c r="B17" s="12" t="s">
        <v>154</v>
      </c>
      <c r="C17" s="4" t="s">
        <v>54</v>
      </c>
    </row>
    <row r="18" spans="1:13" x14ac:dyDescent="0.3">
      <c r="A18" s="88" t="s">
        <v>911</v>
      </c>
      <c r="B18" s="12" t="s">
        <v>151</v>
      </c>
      <c r="C18" s="53" t="s">
        <v>54</v>
      </c>
    </row>
    <row r="19" spans="1:13" s="50" customFormat="1" outlineLevel="1" x14ac:dyDescent="0.3">
      <c r="A19" s="88" t="s">
        <v>912</v>
      </c>
      <c r="B19" s="12" t="s">
        <v>931</v>
      </c>
      <c r="C19" s="53"/>
      <c r="D19" s="13"/>
      <c r="E19" s="13"/>
      <c r="F19" s="13"/>
      <c r="G19" s="13"/>
      <c r="H19" s="13"/>
      <c r="I19" s="13"/>
      <c r="J19" s="13"/>
      <c r="K19" s="13"/>
      <c r="L19" s="13"/>
      <c r="M19" s="13"/>
    </row>
    <row r="20" spans="1:13" s="83" customFormat="1" outlineLevel="1" x14ac:dyDescent="0.3">
      <c r="A20" s="88" t="s">
        <v>913</v>
      </c>
      <c r="B20" s="87"/>
      <c r="C20" s="84"/>
      <c r="D20" s="86"/>
      <c r="E20" s="86"/>
      <c r="F20" s="86"/>
      <c r="G20" s="86"/>
      <c r="H20" s="86"/>
      <c r="I20" s="86"/>
      <c r="J20" s="86"/>
      <c r="K20" s="86"/>
      <c r="L20" s="86"/>
      <c r="M20" s="86"/>
    </row>
    <row r="21" spans="1:13" s="83" customFormat="1" outlineLevel="1" x14ac:dyDescent="0.3">
      <c r="A21" s="88" t="s">
        <v>914</v>
      </c>
      <c r="B21" s="87"/>
      <c r="C21" s="84"/>
      <c r="D21" s="86"/>
      <c r="E21" s="86"/>
      <c r="F21" s="86"/>
      <c r="G21" s="86"/>
      <c r="H21" s="86"/>
      <c r="I21" s="86"/>
      <c r="J21" s="86"/>
      <c r="K21" s="86"/>
      <c r="L21" s="86"/>
      <c r="M21" s="86"/>
    </row>
    <row r="22" spans="1:13" s="83" customFormat="1" outlineLevel="1" x14ac:dyDescent="0.3">
      <c r="A22" s="88" t="s">
        <v>915</v>
      </c>
      <c r="B22" s="87"/>
      <c r="C22" s="84"/>
      <c r="D22" s="86"/>
      <c r="E22" s="86"/>
      <c r="F22" s="86"/>
      <c r="G22" s="86"/>
      <c r="H22" s="86"/>
      <c r="I22" s="86"/>
      <c r="J22" s="86"/>
      <c r="K22" s="86"/>
      <c r="L22" s="86"/>
      <c r="M22" s="86"/>
    </row>
    <row r="23" spans="1:13" s="83" customFormat="1" outlineLevel="1" x14ac:dyDescent="0.3">
      <c r="A23" s="88" t="s">
        <v>916</v>
      </c>
      <c r="B23" s="87"/>
      <c r="C23" s="84"/>
      <c r="D23" s="86"/>
      <c r="E23" s="86"/>
      <c r="F23" s="86"/>
      <c r="G23" s="86"/>
      <c r="H23" s="86"/>
      <c r="I23" s="86"/>
      <c r="J23" s="86"/>
      <c r="K23" s="86"/>
      <c r="L23" s="86"/>
      <c r="M23" s="86"/>
    </row>
    <row r="24" spans="1:13" s="50" customFormat="1" ht="18" x14ac:dyDescent="0.3">
      <c r="A24" s="18"/>
      <c r="B24" s="18" t="s">
        <v>929</v>
      </c>
      <c r="C24" s="17" t="s">
        <v>163</v>
      </c>
      <c r="D24" s="13"/>
      <c r="E24" s="13"/>
      <c r="F24" s="13"/>
      <c r="G24" s="13"/>
      <c r="H24" s="13"/>
      <c r="I24" s="13"/>
      <c r="J24" s="13"/>
      <c r="K24" s="13"/>
      <c r="L24" s="13"/>
      <c r="M24" s="13"/>
    </row>
    <row r="25" spans="1:13" s="50" customFormat="1" x14ac:dyDescent="0.3">
      <c r="A25" s="88" t="s">
        <v>917</v>
      </c>
      <c r="B25" s="12" t="s">
        <v>164</v>
      </c>
      <c r="C25" s="53" t="s">
        <v>186</v>
      </c>
      <c r="D25" s="13"/>
      <c r="E25" s="13"/>
      <c r="F25" s="13"/>
      <c r="G25" s="13"/>
      <c r="H25" s="13"/>
      <c r="I25" s="13"/>
      <c r="J25" s="13"/>
      <c r="K25" s="13"/>
      <c r="L25" s="13"/>
      <c r="M25" s="13"/>
    </row>
    <row r="26" spans="1:13" s="50" customFormat="1" x14ac:dyDescent="0.3">
      <c r="A26" s="88" t="s">
        <v>918</v>
      </c>
      <c r="B26" s="12" t="s">
        <v>165</v>
      </c>
      <c r="C26" s="53" t="s">
        <v>187</v>
      </c>
      <c r="D26" s="13"/>
      <c r="E26" s="13"/>
      <c r="F26" s="13"/>
      <c r="G26" s="13"/>
      <c r="H26" s="13"/>
      <c r="I26" s="13"/>
      <c r="J26" s="13"/>
      <c r="K26" s="13"/>
      <c r="L26" s="13"/>
      <c r="M26" s="13"/>
    </row>
    <row r="27" spans="1:13" s="50" customFormat="1" x14ac:dyDescent="0.3">
      <c r="A27" s="88" t="s">
        <v>919</v>
      </c>
      <c r="B27" s="12" t="s">
        <v>166</v>
      </c>
      <c r="C27" s="53" t="s">
        <v>188</v>
      </c>
      <c r="D27" s="13"/>
      <c r="E27" s="13"/>
      <c r="F27" s="13"/>
      <c r="G27" s="13"/>
      <c r="H27" s="13"/>
      <c r="I27" s="13"/>
      <c r="J27" s="13"/>
      <c r="K27" s="13"/>
      <c r="L27" s="13"/>
      <c r="M27" s="13"/>
    </row>
    <row r="28" spans="1:13" s="50" customFormat="1" outlineLevel="1" x14ac:dyDescent="0.3">
      <c r="A28" s="88" t="s">
        <v>917</v>
      </c>
      <c r="B28" s="54"/>
      <c r="C28" s="53"/>
      <c r="D28" s="13"/>
      <c r="E28" s="13"/>
      <c r="F28" s="13"/>
      <c r="G28" s="13"/>
      <c r="H28" s="13"/>
      <c r="I28" s="13"/>
      <c r="J28" s="13"/>
      <c r="K28" s="13"/>
      <c r="L28" s="13"/>
      <c r="M28" s="13"/>
    </row>
    <row r="29" spans="1:13" s="50" customFormat="1" outlineLevel="1" x14ac:dyDescent="0.3">
      <c r="A29" s="88" t="s">
        <v>920</v>
      </c>
      <c r="B29" s="54"/>
      <c r="C29" s="53"/>
      <c r="D29" s="13"/>
      <c r="E29" s="13"/>
      <c r="F29" s="13"/>
      <c r="G29" s="13"/>
      <c r="H29" s="13"/>
      <c r="I29" s="13"/>
      <c r="J29" s="13"/>
      <c r="K29" s="13"/>
      <c r="L29" s="13"/>
      <c r="M29" s="13"/>
    </row>
    <row r="30" spans="1:13" s="50" customFormat="1" outlineLevel="1" x14ac:dyDescent="0.3">
      <c r="A30" s="88" t="s">
        <v>921</v>
      </c>
      <c r="B30" s="12"/>
      <c r="C30" s="53"/>
      <c r="D30" s="13"/>
      <c r="E30" s="13"/>
      <c r="F30" s="13"/>
      <c r="G30" s="13"/>
      <c r="H30" s="13"/>
      <c r="I30" s="13"/>
      <c r="J30" s="13"/>
      <c r="K30" s="13"/>
      <c r="L30" s="13"/>
      <c r="M30" s="13"/>
    </row>
    <row r="31" spans="1:13" ht="18" x14ac:dyDescent="0.3">
      <c r="A31" s="18"/>
      <c r="B31" s="18" t="s">
        <v>930</v>
      </c>
      <c r="C31" s="17" t="s">
        <v>62</v>
      </c>
    </row>
    <row r="32" spans="1:13" x14ac:dyDescent="0.3">
      <c r="A32" s="88" t="s">
        <v>922</v>
      </c>
      <c r="B32" s="11" t="s">
        <v>65</v>
      </c>
      <c r="C32" s="4" t="s">
        <v>54</v>
      </c>
    </row>
    <row r="33" spans="1:2" x14ac:dyDescent="0.3">
      <c r="A33" s="88" t="s">
        <v>923</v>
      </c>
      <c r="B33" s="6"/>
    </row>
    <row r="34" spans="1:2" x14ac:dyDescent="0.3">
      <c r="A34" s="88" t="s">
        <v>924</v>
      </c>
      <c r="B34" s="6"/>
    </row>
    <row r="35" spans="1:2" x14ac:dyDescent="0.3">
      <c r="A35" s="88" t="s">
        <v>925</v>
      </c>
      <c r="B35" s="6"/>
    </row>
    <row r="36" spans="1:2" x14ac:dyDescent="0.3">
      <c r="A36" s="88" t="s">
        <v>926</v>
      </c>
      <c r="B36" s="6"/>
    </row>
    <row r="37" spans="1:2" x14ac:dyDescent="0.3">
      <c r="A37" s="88" t="s">
        <v>927</v>
      </c>
      <c r="B37" s="6"/>
    </row>
    <row r="38" spans="1:2" x14ac:dyDescent="0.3">
      <c r="B38" s="6"/>
    </row>
    <row r="39" spans="1:2" x14ac:dyDescent="0.3">
      <c r="B39" s="6"/>
    </row>
    <row r="40" spans="1:2" x14ac:dyDescent="0.3">
      <c r="B40" s="6"/>
    </row>
    <row r="41" spans="1:2" x14ac:dyDescent="0.3">
      <c r="B41" s="6"/>
    </row>
    <row r="42" spans="1:2" x14ac:dyDescent="0.3">
      <c r="B42" s="6"/>
    </row>
    <row r="43" spans="1:2" x14ac:dyDescent="0.3">
      <c r="B43" s="6"/>
    </row>
    <row r="44" spans="1:2" x14ac:dyDescent="0.3">
      <c r="B44" s="6"/>
    </row>
    <row r="45" spans="1:2" x14ac:dyDescent="0.3">
      <c r="B45" s="6"/>
    </row>
    <row r="46" spans="1:2" x14ac:dyDescent="0.3">
      <c r="B46" s="6"/>
    </row>
    <row r="47" spans="1:2" x14ac:dyDescent="0.3">
      <c r="B47" s="6"/>
    </row>
    <row r="48" spans="1:2" x14ac:dyDescent="0.3">
      <c r="B48" s="6"/>
    </row>
    <row r="49" spans="2:2" x14ac:dyDescent="0.3">
      <c r="B49" s="6"/>
    </row>
    <row r="50" spans="2:2" x14ac:dyDescent="0.3">
      <c r="B50" s="6"/>
    </row>
    <row r="51" spans="2:2" x14ac:dyDescent="0.3">
      <c r="B51" s="6"/>
    </row>
    <row r="52" spans="2:2" x14ac:dyDescent="0.3">
      <c r="B52" s="6"/>
    </row>
    <row r="53" spans="2:2" x14ac:dyDescent="0.3">
      <c r="B53" s="6"/>
    </row>
    <row r="54" spans="2:2" x14ac:dyDescent="0.3">
      <c r="B54" s="6"/>
    </row>
    <row r="55" spans="2:2" x14ac:dyDescent="0.3">
      <c r="B55" s="6"/>
    </row>
    <row r="56" spans="2:2" x14ac:dyDescent="0.3">
      <c r="B56" s="6"/>
    </row>
    <row r="57" spans="2:2" x14ac:dyDescent="0.3">
      <c r="B57" s="6"/>
    </row>
    <row r="58" spans="2:2" x14ac:dyDescent="0.3">
      <c r="B58" s="6"/>
    </row>
    <row r="59" spans="2:2" x14ac:dyDescent="0.3">
      <c r="B59" s="6"/>
    </row>
    <row r="60" spans="2:2" x14ac:dyDescent="0.3">
      <c r="B60" s="6"/>
    </row>
    <row r="61" spans="2:2" x14ac:dyDescent="0.3">
      <c r="B61" s="6"/>
    </row>
    <row r="62" spans="2:2" x14ac:dyDescent="0.3">
      <c r="B62" s="6"/>
    </row>
    <row r="63" spans="2:2" x14ac:dyDescent="0.3">
      <c r="B63" s="6"/>
    </row>
    <row r="64" spans="2:2" x14ac:dyDescent="0.3">
      <c r="B64" s="6"/>
    </row>
    <row r="65" spans="2:2" x14ac:dyDescent="0.3">
      <c r="B65" s="6"/>
    </row>
    <row r="66" spans="2:2" x14ac:dyDescent="0.3">
      <c r="B66" s="6"/>
    </row>
    <row r="67" spans="2:2" x14ac:dyDescent="0.3">
      <c r="B67" s="6"/>
    </row>
    <row r="68" spans="2:2" x14ac:dyDescent="0.3">
      <c r="B68" s="6"/>
    </row>
    <row r="69" spans="2:2" x14ac:dyDescent="0.3">
      <c r="B69" s="6"/>
    </row>
    <row r="70" spans="2:2" x14ac:dyDescent="0.3">
      <c r="B70" s="6"/>
    </row>
    <row r="71" spans="2:2" x14ac:dyDescent="0.3">
      <c r="B71" s="6"/>
    </row>
    <row r="72" spans="2:2" x14ac:dyDescent="0.3">
      <c r="B72" s="6"/>
    </row>
    <row r="73" spans="2:2" x14ac:dyDescent="0.3">
      <c r="B73" s="6"/>
    </row>
    <row r="74" spans="2:2" x14ac:dyDescent="0.3">
      <c r="B74" s="6"/>
    </row>
    <row r="75" spans="2:2" x14ac:dyDescent="0.3">
      <c r="B75" s="6"/>
    </row>
    <row r="76" spans="2:2" x14ac:dyDescent="0.3">
      <c r="B76" s="6"/>
    </row>
    <row r="77" spans="2:2" x14ac:dyDescent="0.3">
      <c r="B77" s="6"/>
    </row>
    <row r="78" spans="2:2" x14ac:dyDescent="0.3">
      <c r="B78" s="6"/>
    </row>
    <row r="79" spans="2:2" x14ac:dyDescent="0.3">
      <c r="B79" s="6"/>
    </row>
    <row r="80" spans="2:2" x14ac:dyDescent="0.3">
      <c r="B80" s="6"/>
    </row>
    <row r="81" spans="2:2" x14ac:dyDescent="0.3">
      <c r="B81" s="6"/>
    </row>
    <row r="82" spans="2:2" x14ac:dyDescent="0.3">
      <c r="B82" s="6"/>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6"/>
    </row>
    <row r="94" spans="2:2" x14ac:dyDescent="0.3">
      <c r="B94" s="6"/>
    </row>
    <row r="95" spans="2:2" x14ac:dyDescent="0.3">
      <c r="B95" s="6"/>
    </row>
    <row r="96" spans="2:2" x14ac:dyDescent="0.3">
      <c r="B96" s="6"/>
    </row>
    <row r="97" spans="2:2" x14ac:dyDescent="0.3">
      <c r="B97" s="6"/>
    </row>
    <row r="98" spans="2:2" x14ac:dyDescent="0.3">
      <c r="B98" s="6"/>
    </row>
    <row r="99" spans="2:2" x14ac:dyDescent="0.3">
      <c r="B99" s="6"/>
    </row>
    <row r="100" spans="2:2" x14ac:dyDescent="0.3">
      <c r="B100" s="6"/>
    </row>
    <row r="101" spans="2:2" x14ac:dyDescent="0.3">
      <c r="B101" s="7"/>
    </row>
    <row r="102" spans="2:2" x14ac:dyDescent="0.3">
      <c r="B102" s="6"/>
    </row>
    <row r="103" spans="2:2" x14ac:dyDescent="0.3">
      <c r="B103" s="6"/>
    </row>
    <row r="104" spans="2:2" x14ac:dyDescent="0.3">
      <c r="B104" s="6"/>
    </row>
    <row r="105" spans="2:2" x14ac:dyDescent="0.3">
      <c r="B105" s="6"/>
    </row>
    <row r="106" spans="2:2" x14ac:dyDescent="0.3">
      <c r="B106" s="6"/>
    </row>
    <row r="107" spans="2:2" x14ac:dyDescent="0.3">
      <c r="B107" s="6"/>
    </row>
    <row r="108" spans="2:2" x14ac:dyDescent="0.3">
      <c r="B108" s="6"/>
    </row>
    <row r="109" spans="2:2" x14ac:dyDescent="0.3">
      <c r="B109" s="6"/>
    </row>
    <row r="110" spans="2:2" x14ac:dyDescent="0.3">
      <c r="B110" s="6"/>
    </row>
    <row r="111" spans="2:2" x14ac:dyDescent="0.3">
      <c r="B111" s="6"/>
    </row>
    <row r="112" spans="2:2" x14ac:dyDescent="0.3">
      <c r="B112" s="6"/>
    </row>
    <row r="113" spans="2:2" x14ac:dyDescent="0.3">
      <c r="B113" s="6"/>
    </row>
    <row r="114" spans="2:2" x14ac:dyDescent="0.3">
      <c r="B114" s="6"/>
    </row>
    <row r="115" spans="2:2" x14ac:dyDescent="0.3">
      <c r="B115" s="6"/>
    </row>
    <row r="116" spans="2:2" x14ac:dyDescent="0.3">
      <c r="B116" s="6"/>
    </row>
    <row r="117" spans="2:2" x14ac:dyDescent="0.3">
      <c r="B117" s="6"/>
    </row>
    <row r="118" spans="2:2" x14ac:dyDescent="0.3">
      <c r="B118" s="6"/>
    </row>
    <row r="120" spans="2:2" x14ac:dyDescent="0.3">
      <c r="B120" s="6"/>
    </row>
    <row r="121" spans="2:2" x14ac:dyDescent="0.3">
      <c r="B121" s="6"/>
    </row>
    <row r="122" spans="2:2" x14ac:dyDescent="0.3">
      <c r="B122" s="6"/>
    </row>
    <row r="127" spans="2:2" x14ac:dyDescent="0.3">
      <c r="B127" s="3"/>
    </row>
    <row r="128" spans="2:2" x14ac:dyDescent="0.3">
      <c r="B128" s="5"/>
    </row>
    <row r="134" spans="2:2" x14ac:dyDescent="0.3">
      <c r="B134" s="12"/>
    </row>
    <row r="135" spans="2:2" x14ac:dyDescent="0.3">
      <c r="B135" s="6"/>
    </row>
    <row r="137" spans="2:2" x14ac:dyDescent="0.3">
      <c r="B137" s="6"/>
    </row>
    <row r="138" spans="2:2" x14ac:dyDescent="0.3">
      <c r="B138" s="6"/>
    </row>
    <row r="139" spans="2:2" x14ac:dyDescent="0.3">
      <c r="B139" s="6"/>
    </row>
    <row r="140" spans="2:2" x14ac:dyDescent="0.3">
      <c r="B140" s="6"/>
    </row>
    <row r="141" spans="2:2" x14ac:dyDescent="0.3">
      <c r="B141" s="6"/>
    </row>
    <row r="142" spans="2:2" x14ac:dyDescent="0.3">
      <c r="B142" s="6"/>
    </row>
    <row r="143" spans="2:2" x14ac:dyDescent="0.3">
      <c r="B143" s="6"/>
    </row>
    <row r="144" spans="2:2" x14ac:dyDescent="0.3">
      <c r="B144" s="6"/>
    </row>
    <row r="145" spans="2:2" x14ac:dyDescent="0.3">
      <c r="B145" s="6"/>
    </row>
    <row r="146" spans="2:2" x14ac:dyDescent="0.3">
      <c r="B146" s="6"/>
    </row>
    <row r="147" spans="2:2" x14ac:dyDescent="0.3">
      <c r="B147" s="6"/>
    </row>
    <row r="148" spans="2:2" x14ac:dyDescent="0.3">
      <c r="B148" s="6"/>
    </row>
    <row r="245" spans="2:2" x14ac:dyDescent="0.3">
      <c r="B245" s="11"/>
    </row>
    <row r="246" spans="2:2" x14ac:dyDescent="0.3">
      <c r="B246" s="6"/>
    </row>
    <row r="247" spans="2:2" x14ac:dyDescent="0.3">
      <c r="B247" s="6"/>
    </row>
    <row r="250" spans="2:2" x14ac:dyDescent="0.3">
      <c r="B250" s="6"/>
    </row>
    <row r="266" spans="2:2" x14ac:dyDescent="0.3">
      <c r="B266" s="11"/>
    </row>
    <row r="296" spans="2:2" x14ac:dyDescent="0.3">
      <c r="B296" s="3"/>
    </row>
    <row r="297" spans="2:2" x14ac:dyDescent="0.3">
      <c r="B297" s="6"/>
    </row>
    <row r="299" spans="2:2" x14ac:dyDescent="0.3">
      <c r="B299" s="6"/>
    </row>
    <row r="300" spans="2:2" x14ac:dyDescent="0.3">
      <c r="B300" s="6"/>
    </row>
    <row r="301" spans="2:2" x14ac:dyDescent="0.3">
      <c r="B301" s="6"/>
    </row>
    <row r="302" spans="2:2" x14ac:dyDescent="0.3">
      <c r="B302" s="6"/>
    </row>
    <row r="303" spans="2:2" x14ac:dyDescent="0.3">
      <c r="B303" s="6"/>
    </row>
    <row r="304" spans="2:2" x14ac:dyDescent="0.3">
      <c r="B304" s="6"/>
    </row>
    <row r="305" spans="2:2" x14ac:dyDescent="0.3">
      <c r="B305" s="6"/>
    </row>
    <row r="306" spans="2:2" x14ac:dyDescent="0.3">
      <c r="B306" s="6"/>
    </row>
    <row r="307" spans="2:2" x14ac:dyDescent="0.3">
      <c r="B307" s="6"/>
    </row>
    <row r="308" spans="2:2" x14ac:dyDescent="0.3">
      <c r="B308" s="6"/>
    </row>
    <row r="309" spans="2:2" x14ac:dyDescent="0.3">
      <c r="B309" s="6"/>
    </row>
    <row r="310" spans="2:2" x14ac:dyDescent="0.3">
      <c r="B310" s="6"/>
    </row>
    <row r="322" spans="2:2" x14ac:dyDescent="0.3">
      <c r="B322" s="6"/>
    </row>
    <row r="323" spans="2:2" x14ac:dyDescent="0.3">
      <c r="B323" s="6"/>
    </row>
    <row r="324" spans="2:2" x14ac:dyDescent="0.3">
      <c r="B324" s="6"/>
    </row>
    <row r="325" spans="2:2" x14ac:dyDescent="0.3">
      <c r="B325" s="6"/>
    </row>
    <row r="326" spans="2:2" x14ac:dyDescent="0.3">
      <c r="B326" s="6"/>
    </row>
    <row r="327" spans="2:2" x14ac:dyDescent="0.3">
      <c r="B327" s="6"/>
    </row>
    <row r="328" spans="2:2" x14ac:dyDescent="0.3">
      <c r="B328" s="6"/>
    </row>
    <row r="329" spans="2:2" x14ac:dyDescent="0.3">
      <c r="B329" s="6"/>
    </row>
    <row r="330" spans="2:2" x14ac:dyDescent="0.3">
      <c r="B330" s="6"/>
    </row>
    <row r="332" spans="2:2" x14ac:dyDescent="0.3">
      <c r="B332" s="6"/>
    </row>
    <row r="333" spans="2:2" x14ac:dyDescent="0.3">
      <c r="B333" s="6"/>
    </row>
    <row r="334" spans="2:2" x14ac:dyDescent="0.3">
      <c r="B334" s="6"/>
    </row>
    <row r="335" spans="2:2" x14ac:dyDescent="0.3">
      <c r="B335" s="6"/>
    </row>
    <row r="336" spans="2:2" x14ac:dyDescent="0.3">
      <c r="B336" s="6"/>
    </row>
    <row r="338" spans="2:2" x14ac:dyDescent="0.3">
      <c r="B338" s="6"/>
    </row>
    <row r="341" spans="2:2" x14ac:dyDescent="0.3">
      <c r="B341" s="6"/>
    </row>
    <row r="344" spans="2:2" x14ac:dyDescent="0.3">
      <c r="B344" s="6"/>
    </row>
    <row r="345" spans="2:2" x14ac:dyDescent="0.3">
      <c r="B345" s="6"/>
    </row>
    <row r="346" spans="2:2" x14ac:dyDescent="0.3">
      <c r="B346" s="6"/>
    </row>
    <row r="347" spans="2:2" x14ac:dyDescent="0.3">
      <c r="B347" s="6"/>
    </row>
    <row r="348" spans="2:2" x14ac:dyDescent="0.3">
      <c r="B348" s="6"/>
    </row>
    <row r="349" spans="2:2" x14ac:dyDescent="0.3">
      <c r="B349" s="6"/>
    </row>
    <row r="350" spans="2:2" x14ac:dyDescent="0.3">
      <c r="B350" s="6"/>
    </row>
    <row r="351" spans="2:2" x14ac:dyDescent="0.3">
      <c r="B351" s="6"/>
    </row>
    <row r="352" spans="2:2" x14ac:dyDescent="0.3">
      <c r="B352" s="6"/>
    </row>
    <row r="353" spans="2:2" x14ac:dyDescent="0.3">
      <c r="B353" s="6"/>
    </row>
    <row r="354" spans="2:2" x14ac:dyDescent="0.3">
      <c r="B354" s="6"/>
    </row>
    <row r="355" spans="2:2" x14ac:dyDescent="0.3">
      <c r="B355" s="6"/>
    </row>
    <row r="356" spans="2:2" x14ac:dyDescent="0.3">
      <c r="B356" s="6"/>
    </row>
    <row r="357" spans="2:2" x14ac:dyDescent="0.3">
      <c r="B357" s="6"/>
    </row>
    <row r="358" spans="2:2" x14ac:dyDescent="0.3">
      <c r="B358" s="6"/>
    </row>
    <row r="359" spans="2:2" x14ac:dyDescent="0.3">
      <c r="B359" s="6"/>
    </row>
    <row r="360" spans="2:2" x14ac:dyDescent="0.3">
      <c r="B360" s="6"/>
    </row>
    <row r="361" spans="2:2" x14ac:dyDescent="0.3">
      <c r="B361" s="6"/>
    </row>
    <row r="362" spans="2:2" x14ac:dyDescent="0.3">
      <c r="B362" s="6"/>
    </row>
    <row r="366" spans="2:2" x14ac:dyDescent="0.3">
      <c r="B366" s="3"/>
    </row>
    <row r="383" spans="2:2" x14ac:dyDescent="0.3">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5" zoomScale="90" zoomScaleNormal="90" workbookViewId="0">
      <selection activeCell="D90" sqref="D90"/>
    </sheetView>
  </sheetViews>
  <sheetFormatPr defaultColWidth="8.88671875" defaultRowHeight="14.4" outlineLevelRow="1" x14ac:dyDescent="0.3"/>
  <cols>
    <col min="1" max="1" width="13.33203125" style="89" customWidth="1"/>
    <col min="2" max="2" width="60.5546875" style="89" bestFit="1" customWidth="1"/>
    <col min="3" max="7" width="24.33203125" style="89" customWidth="1"/>
    <col min="8" max="8" width="7.33203125" style="89" customWidth="1"/>
    <col min="9" max="9" width="38.109375" style="89" customWidth="1"/>
    <col min="10" max="11" width="47.6640625" style="89" customWidth="1"/>
    <col min="12" max="12" width="7.33203125" style="89" customWidth="1"/>
    <col min="13" max="13" width="25.6640625" style="89" customWidth="1"/>
    <col min="14" max="14" width="25.6640625" style="52" customWidth="1"/>
    <col min="15" max="16384" width="8.88671875" style="51"/>
  </cols>
  <sheetData>
    <row r="1" spans="1:13" ht="23.25" customHeight="1" x14ac:dyDescent="0.3">
      <c r="A1" s="132" t="s">
        <v>1011</v>
      </c>
      <c r="B1" s="132"/>
    </row>
    <row r="2" spans="1:13" ht="31.2" x14ac:dyDescent="0.3">
      <c r="A2" s="19" t="s">
        <v>1012</v>
      </c>
      <c r="B2" s="19"/>
      <c r="C2" s="52"/>
      <c r="D2" s="52"/>
      <c r="E2" s="52"/>
      <c r="F2" s="42"/>
      <c r="G2" s="42"/>
      <c r="H2" s="52"/>
      <c r="I2" s="19"/>
      <c r="J2" s="52"/>
      <c r="K2" s="52"/>
      <c r="L2" s="52"/>
      <c r="M2" s="52"/>
    </row>
    <row r="3" spans="1:13" ht="15" thickBot="1" x14ac:dyDescent="0.35">
      <c r="A3" s="52"/>
      <c r="B3" s="91"/>
      <c r="C3" s="91"/>
      <c r="D3" s="52"/>
      <c r="E3" s="52"/>
      <c r="F3" s="52"/>
      <c r="G3" s="52"/>
      <c r="H3" s="52"/>
      <c r="L3" s="52"/>
      <c r="M3" s="52"/>
    </row>
    <row r="4" spans="1:13" ht="36.6" thickBot="1" x14ac:dyDescent="0.35">
      <c r="A4" s="44"/>
      <c r="B4" s="43" t="s">
        <v>129</v>
      </c>
      <c r="C4" s="92" t="s">
        <v>969</v>
      </c>
      <c r="D4" s="44"/>
      <c r="E4" s="44"/>
      <c r="F4" s="52"/>
      <c r="G4" s="52"/>
      <c r="H4" s="52"/>
      <c r="I4" s="18" t="s">
        <v>1013</v>
      </c>
      <c r="J4" s="17" t="s">
        <v>163</v>
      </c>
      <c r="L4" s="52"/>
      <c r="M4" s="52"/>
    </row>
    <row r="5" spans="1:13" ht="15" thickBot="1" x14ac:dyDescent="0.35">
      <c r="H5" s="52"/>
      <c r="I5" s="121" t="s">
        <v>164</v>
      </c>
      <c r="J5" s="89" t="s">
        <v>186</v>
      </c>
      <c r="L5" s="52"/>
      <c r="M5" s="52"/>
    </row>
    <row r="6" spans="1:13" ht="28.8" x14ac:dyDescent="0.3">
      <c r="A6" s="61"/>
      <c r="B6" s="78" t="s">
        <v>1014</v>
      </c>
      <c r="C6" s="61"/>
      <c r="E6" s="3"/>
      <c r="F6" s="3"/>
      <c r="G6" s="3"/>
      <c r="H6" s="52"/>
      <c r="I6" s="121" t="s">
        <v>165</v>
      </c>
      <c r="J6" s="89" t="s">
        <v>187</v>
      </c>
      <c r="L6" s="52"/>
      <c r="M6" s="52"/>
    </row>
    <row r="7" spans="1:13" x14ac:dyDescent="0.3">
      <c r="B7" s="75" t="s">
        <v>1015</v>
      </c>
      <c r="H7" s="52"/>
      <c r="I7" s="121" t="s">
        <v>166</v>
      </c>
      <c r="J7" s="89" t="s">
        <v>188</v>
      </c>
      <c r="L7" s="52"/>
      <c r="M7" s="52"/>
    </row>
    <row r="8" spans="1:13" x14ac:dyDescent="0.3">
      <c r="B8" s="75" t="s">
        <v>1016</v>
      </c>
      <c r="H8" s="52"/>
      <c r="I8" s="121" t="s">
        <v>1017</v>
      </c>
      <c r="J8" s="89" t="s">
        <v>1018</v>
      </c>
      <c r="L8" s="52"/>
      <c r="M8" s="52"/>
    </row>
    <row r="9" spans="1:13" ht="15" thickBot="1" x14ac:dyDescent="0.35">
      <c r="B9" s="76" t="s">
        <v>1019</v>
      </c>
      <c r="H9" s="52"/>
      <c r="L9" s="52"/>
      <c r="M9" s="52"/>
    </row>
    <row r="10" spans="1:13" ht="28.8" x14ac:dyDescent="0.3">
      <c r="B10" s="65"/>
      <c r="H10" s="52"/>
      <c r="I10" s="122" t="s">
        <v>1020</v>
      </c>
      <c r="L10" s="52"/>
      <c r="M10" s="52"/>
    </row>
    <row r="11" spans="1:13" ht="28.8" x14ac:dyDescent="0.3">
      <c r="B11" s="65"/>
      <c r="H11" s="52"/>
      <c r="I11" s="122" t="s">
        <v>1021</v>
      </c>
      <c r="L11" s="52"/>
      <c r="M11" s="52"/>
    </row>
    <row r="12" spans="1:13" ht="36" x14ac:dyDescent="0.3">
      <c r="A12" s="18" t="s">
        <v>218</v>
      </c>
      <c r="B12" s="18" t="s">
        <v>1022</v>
      </c>
      <c r="C12" s="15"/>
      <c r="D12" s="15"/>
      <c r="E12" s="15"/>
      <c r="F12" s="15"/>
      <c r="G12" s="15"/>
      <c r="H12" s="52"/>
      <c r="L12" s="52"/>
      <c r="M12" s="52"/>
    </row>
    <row r="13" spans="1:13" ht="15" customHeight="1" x14ac:dyDescent="0.3">
      <c r="A13" s="58"/>
      <c r="B13" s="60" t="s">
        <v>1023</v>
      </c>
      <c r="C13" s="58" t="s">
        <v>1024</v>
      </c>
      <c r="D13" s="58" t="s">
        <v>1025</v>
      </c>
      <c r="E13" s="46"/>
      <c r="F13" s="59"/>
      <c r="G13" s="59"/>
      <c r="H13" s="52"/>
      <c r="L13" s="52"/>
      <c r="M13" s="52"/>
    </row>
    <row r="14" spans="1:13" x14ac:dyDescent="0.3">
      <c r="A14" s="89" t="s">
        <v>1026</v>
      </c>
      <c r="B14" s="85" t="s">
        <v>1027</v>
      </c>
      <c r="C14" s="89" t="s">
        <v>187</v>
      </c>
      <c r="D14" s="89" t="s">
        <v>187</v>
      </c>
      <c r="E14" s="3"/>
      <c r="F14" s="3"/>
      <c r="G14" s="3"/>
      <c r="H14" s="52"/>
      <c r="L14" s="52"/>
      <c r="M14" s="52"/>
    </row>
    <row r="15" spans="1:13" x14ac:dyDescent="0.3">
      <c r="A15" s="89" t="s">
        <v>1028</v>
      </c>
      <c r="B15" s="85" t="s">
        <v>194</v>
      </c>
      <c r="C15" s="89" t="s">
        <v>187</v>
      </c>
      <c r="D15" s="89" t="s">
        <v>187</v>
      </c>
      <c r="E15" s="3"/>
      <c r="F15" s="3"/>
      <c r="G15" s="3"/>
      <c r="H15" s="52"/>
      <c r="L15" s="52"/>
      <c r="M15" s="52"/>
    </row>
    <row r="16" spans="1:13" x14ac:dyDescent="0.3">
      <c r="A16" s="89" t="s">
        <v>1029</v>
      </c>
      <c r="B16" s="85" t="s">
        <v>1030</v>
      </c>
      <c r="C16" s="89" t="s">
        <v>187</v>
      </c>
      <c r="D16" s="89" t="s">
        <v>187</v>
      </c>
      <c r="E16" s="3"/>
      <c r="F16" s="3"/>
      <c r="G16" s="3"/>
      <c r="H16" s="52"/>
      <c r="L16" s="52"/>
      <c r="M16" s="52"/>
    </row>
    <row r="17" spans="1:13" x14ac:dyDescent="0.3">
      <c r="A17" s="89" t="s">
        <v>1031</v>
      </c>
      <c r="B17" s="85" t="s">
        <v>1032</v>
      </c>
      <c r="C17" s="89" t="s">
        <v>187</v>
      </c>
      <c r="D17" s="89" t="s">
        <v>187</v>
      </c>
      <c r="E17" s="3"/>
      <c r="F17" s="3"/>
      <c r="G17" s="3"/>
      <c r="H17" s="52"/>
      <c r="L17" s="52"/>
      <c r="M17" s="52"/>
    </row>
    <row r="18" spans="1:13" x14ac:dyDescent="0.3">
      <c r="A18" s="89" t="s">
        <v>1033</v>
      </c>
      <c r="B18" s="85" t="s">
        <v>1034</v>
      </c>
      <c r="C18" s="89" t="s">
        <v>187</v>
      </c>
      <c r="D18" s="89" t="s">
        <v>187</v>
      </c>
      <c r="E18" s="3"/>
      <c r="F18" s="3"/>
      <c r="G18" s="3"/>
      <c r="H18" s="52"/>
      <c r="L18" s="52"/>
      <c r="M18" s="52"/>
    </row>
    <row r="19" spans="1:13" x14ac:dyDescent="0.3">
      <c r="A19" s="89" t="s">
        <v>1035</v>
      </c>
      <c r="B19" s="85" t="s">
        <v>1036</v>
      </c>
      <c r="C19" s="89" t="s">
        <v>187</v>
      </c>
      <c r="D19" s="89" t="s">
        <v>187</v>
      </c>
      <c r="E19" s="3"/>
      <c r="F19" s="3"/>
      <c r="G19" s="3"/>
      <c r="H19" s="52"/>
      <c r="L19" s="52"/>
      <c r="M19" s="52"/>
    </row>
    <row r="20" spans="1:13" x14ac:dyDescent="0.3">
      <c r="A20" s="89" t="s">
        <v>1037</v>
      </c>
      <c r="B20" s="85" t="s">
        <v>1038</v>
      </c>
      <c r="C20" s="89" t="s">
        <v>187</v>
      </c>
      <c r="D20" s="89" t="s">
        <v>187</v>
      </c>
      <c r="E20" s="3"/>
      <c r="F20" s="3"/>
      <c r="G20" s="3"/>
      <c r="H20" s="52"/>
      <c r="L20" s="52"/>
      <c r="M20" s="52"/>
    </row>
    <row r="21" spans="1:13" x14ac:dyDescent="0.3">
      <c r="A21" s="89" t="s">
        <v>1039</v>
      </c>
      <c r="B21" s="85" t="s">
        <v>1040</v>
      </c>
      <c r="C21" s="89" t="s">
        <v>187</v>
      </c>
      <c r="D21" s="89" t="s">
        <v>187</v>
      </c>
      <c r="E21" s="3"/>
      <c r="F21" s="3"/>
      <c r="G21" s="3"/>
      <c r="H21" s="52"/>
      <c r="L21" s="52"/>
      <c r="M21" s="52"/>
    </row>
    <row r="22" spans="1:13" x14ac:dyDescent="0.3">
      <c r="A22" s="89" t="s">
        <v>1041</v>
      </c>
      <c r="B22" s="85" t="s">
        <v>1042</v>
      </c>
      <c r="C22" s="89" t="s">
        <v>187</v>
      </c>
      <c r="D22" s="89" t="s">
        <v>187</v>
      </c>
      <c r="E22" s="3"/>
      <c r="F22" s="3"/>
      <c r="G22" s="3"/>
      <c r="H22" s="52"/>
      <c r="L22" s="52"/>
      <c r="M22" s="52"/>
    </row>
    <row r="23" spans="1:13" x14ac:dyDescent="0.3">
      <c r="A23" s="89" t="s">
        <v>1043</v>
      </c>
      <c r="B23" s="85" t="s">
        <v>1044</v>
      </c>
      <c r="C23" s="89" t="s">
        <v>187</v>
      </c>
      <c r="D23" s="89" t="s">
        <v>187</v>
      </c>
      <c r="E23" s="3"/>
      <c r="F23" s="3"/>
      <c r="G23" s="3"/>
      <c r="H23" s="52"/>
      <c r="L23" s="52"/>
      <c r="M23" s="52"/>
    </row>
    <row r="24" spans="1:13" x14ac:dyDescent="0.3">
      <c r="A24" s="89" t="s">
        <v>1045</v>
      </c>
      <c r="B24" s="85" t="s">
        <v>1046</v>
      </c>
      <c r="C24" s="80" t="s">
        <v>1047</v>
      </c>
      <c r="D24" s="89" t="s">
        <v>187</v>
      </c>
      <c r="E24" s="3"/>
      <c r="F24" s="3"/>
      <c r="G24" s="3"/>
      <c r="H24" s="52"/>
      <c r="L24" s="52"/>
      <c r="M24" s="52"/>
    </row>
    <row r="25" spans="1:13" outlineLevel="1" x14ac:dyDescent="0.3">
      <c r="A25" s="89" t="s">
        <v>1048</v>
      </c>
      <c r="B25" s="90"/>
      <c r="E25" s="3"/>
      <c r="F25" s="3"/>
      <c r="G25" s="3"/>
      <c r="H25" s="52"/>
      <c r="L25" s="52"/>
      <c r="M25" s="52"/>
    </row>
    <row r="26" spans="1:13" outlineLevel="1" x14ac:dyDescent="0.3">
      <c r="A26" s="89" t="s">
        <v>1049</v>
      </c>
      <c r="B26" s="90"/>
      <c r="E26" s="3"/>
      <c r="F26" s="3"/>
      <c r="G26" s="3"/>
      <c r="H26" s="52"/>
      <c r="L26" s="52"/>
      <c r="M26" s="52"/>
    </row>
    <row r="27" spans="1:13" outlineLevel="1" x14ac:dyDescent="0.3">
      <c r="A27" s="89" t="s">
        <v>1050</v>
      </c>
      <c r="B27" s="90"/>
      <c r="E27" s="3"/>
      <c r="F27" s="3"/>
      <c r="G27" s="3"/>
      <c r="H27" s="52"/>
      <c r="L27" s="52"/>
      <c r="M27" s="52"/>
    </row>
    <row r="28" spans="1:13" outlineLevel="1" x14ac:dyDescent="0.3">
      <c r="A28" s="89" t="s">
        <v>1051</v>
      </c>
      <c r="B28" s="90"/>
      <c r="E28" s="3"/>
      <c r="F28" s="3"/>
      <c r="G28" s="3"/>
      <c r="H28" s="52"/>
      <c r="L28" s="52"/>
      <c r="M28" s="52"/>
    </row>
    <row r="29" spans="1:13" outlineLevel="1" x14ac:dyDescent="0.3">
      <c r="A29" s="89" t="s">
        <v>1052</v>
      </c>
      <c r="B29" s="90"/>
      <c r="E29" s="3"/>
      <c r="F29" s="3"/>
      <c r="G29" s="3"/>
      <c r="H29" s="52"/>
      <c r="L29" s="52"/>
      <c r="M29" s="52"/>
    </row>
    <row r="30" spans="1:13" outlineLevel="1" x14ac:dyDescent="0.3">
      <c r="A30" s="89" t="s">
        <v>1053</v>
      </c>
      <c r="B30" s="90"/>
      <c r="E30" s="3"/>
      <c r="F30" s="3"/>
      <c r="G30" s="3"/>
      <c r="H30" s="52"/>
      <c r="L30" s="52"/>
      <c r="M30" s="52"/>
    </row>
    <row r="31" spans="1:13" outlineLevel="1" x14ac:dyDescent="0.3">
      <c r="A31" s="89" t="s">
        <v>1054</v>
      </c>
      <c r="B31" s="90"/>
      <c r="E31" s="3"/>
      <c r="F31" s="3"/>
      <c r="G31" s="3"/>
      <c r="H31" s="52"/>
      <c r="L31" s="52"/>
      <c r="M31" s="52"/>
    </row>
    <row r="32" spans="1:13" outlineLevel="1" x14ac:dyDescent="0.3">
      <c r="A32" s="89" t="s">
        <v>1055</v>
      </c>
      <c r="B32" s="90"/>
      <c r="E32" s="3"/>
      <c r="F32" s="3"/>
      <c r="G32" s="3"/>
      <c r="H32" s="52"/>
      <c r="L32" s="52"/>
      <c r="M32" s="52"/>
    </row>
    <row r="33" spans="1:13" ht="18" x14ac:dyDescent="0.3">
      <c r="A33" s="15"/>
      <c r="B33" s="18" t="s">
        <v>1016</v>
      </c>
      <c r="C33" s="15"/>
      <c r="D33" s="15"/>
      <c r="E33" s="15"/>
      <c r="F33" s="15"/>
      <c r="G33" s="15"/>
      <c r="H33" s="52"/>
      <c r="L33" s="52"/>
      <c r="M33" s="52"/>
    </row>
    <row r="34" spans="1:13" ht="15" customHeight="1" x14ac:dyDescent="0.3">
      <c r="A34" s="58"/>
      <c r="B34" s="60" t="s">
        <v>1056</v>
      </c>
      <c r="C34" s="58" t="s">
        <v>1057</v>
      </c>
      <c r="D34" s="58" t="s">
        <v>1025</v>
      </c>
      <c r="E34" s="58" t="s">
        <v>1058</v>
      </c>
      <c r="F34" s="59"/>
      <c r="G34" s="59"/>
      <c r="H34" s="52"/>
      <c r="L34" s="52"/>
      <c r="M34" s="52"/>
    </row>
    <row r="35" spans="1:13" x14ac:dyDescent="0.3">
      <c r="A35" s="89" t="s">
        <v>1059</v>
      </c>
      <c r="B35" s="85" t="s">
        <v>1060</v>
      </c>
      <c r="C35" s="89" t="s">
        <v>187</v>
      </c>
      <c r="D35" s="89" t="s">
        <v>187</v>
      </c>
      <c r="E35" s="89" t="s">
        <v>187</v>
      </c>
      <c r="F35" s="123"/>
      <c r="G35" s="123"/>
      <c r="H35" s="52"/>
      <c r="L35" s="52"/>
      <c r="M35" s="52"/>
    </row>
    <row r="36" spans="1:13" x14ac:dyDescent="0.3">
      <c r="A36" s="89" t="s">
        <v>1061</v>
      </c>
      <c r="B36" s="85" t="s">
        <v>1062</v>
      </c>
      <c r="C36" s="89" t="s">
        <v>187</v>
      </c>
      <c r="D36" s="89" t="s">
        <v>187</v>
      </c>
      <c r="E36" s="89" t="s">
        <v>187</v>
      </c>
      <c r="H36" s="52"/>
      <c r="L36" s="52"/>
      <c r="M36" s="52"/>
    </row>
    <row r="37" spans="1:13" x14ac:dyDescent="0.3">
      <c r="A37" s="89" t="s">
        <v>1063</v>
      </c>
      <c r="B37" s="85" t="s">
        <v>1064</v>
      </c>
      <c r="C37" s="89" t="s">
        <v>187</v>
      </c>
      <c r="D37" s="89" t="s">
        <v>187</v>
      </c>
      <c r="E37" s="89" t="s">
        <v>187</v>
      </c>
      <c r="H37" s="52"/>
      <c r="L37" s="52"/>
      <c r="M37" s="52"/>
    </row>
    <row r="38" spans="1:13" x14ac:dyDescent="0.3">
      <c r="A38" s="89" t="s">
        <v>1065</v>
      </c>
      <c r="B38" s="85" t="s">
        <v>1066</v>
      </c>
      <c r="C38" s="89" t="s">
        <v>187</v>
      </c>
      <c r="D38" s="89" t="s">
        <v>187</v>
      </c>
      <c r="E38" s="89" t="s">
        <v>187</v>
      </c>
      <c r="H38" s="52"/>
      <c r="L38" s="52"/>
      <c r="M38" s="52"/>
    </row>
    <row r="39" spans="1:13" x14ac:dyDescent="0.3">
      <c r="A39" s="89" t="s">
        <v>1067</v>
      </c>
      <c r="B39" s="85" t="s">
        <v>1068</v>
      </c>
      <c r="C39" s="89" t="s">
        <v>187</v>
      </c>
      <c r="D39" s="89" t="s">
        <v>187</v>
      </c>
      <c r="E39" s="89" t="s">
        <v>187</v>
      </c>
      <c r="H39" s="52"/>
      <c r="L39" s="52"/>
      <c r="M39" s="52"/>
    </row>
    <row r="40" spans="1:13" x14ac:dyDescent="0.3">
      <c r="A40" s="89" t="s">
        <v>1069</v>
      </c>
      <c r="B40" s="85" t="s">
        <v>1070</v>
      </c>
      <c r="C40" s="89" t="s">
        <v>187</v>
      </c>
      <c r="D40" s="89" t="s">
        <v>187</v>
      </c>
      <c r="E40" s="89" t="s">
        <v>187</v>
      </c>
      <c r="H40" s="52"/>
      <c r="L40" s="52"/>
      <c r="M40" s="52"/>
    </row>
    <row r="41" spans="1:13" x14ac:dyDescent="0.3">
      <c r="A41" s="89" t="s">
        <v>1071</v>
      </c>
      <c r="B41" s="85" t="s">
        <v>1072</v>
      </c>
      <c r="C41" s="89" t="s">
        <v>187</v>
      </c>
      <c r="D41" s="89" t="s">
        <v>187</v>
      </c>
      <c r="E41" s="89" t="s">
        <v>187</v>
      </c>
      <c r="H41" s="52"/>
      <c r="L41" s="52"/>
      <c r="M41" s="52"/>
    </row>
    <row r="42" spans="1:13" x14ac:dyDescent="0.3">
      <c r="A42" s="89" t="s">
        <v>1073</v>
      </c>
      <c r="B42" s="85" t="s">
        <v>1074</v>
      </c>
      <c r="C42" s="89" t="s">
        <v>187</v>
      </c>
      <c r="D42" s="89" t="s">
        <v>187</v>
      </c>
      <c r="E42" s="89" t="s">
        <v>187</v>
      </c>
      <c r="H42" s="52"/>
      <c r="L42" s="52"/>
      <c r="M42" s="52"/>
    </row>
    <row r="43" spans="1:13" x14ac:dyDescent="0.3">
      <c r="A43" s="89" t="s">
        <v>1075</v>
      </c>
      <c r="B43" s="85" t="s">
        <v>1076</v>
      </c>
      <c r="C43" s="89" t="s">
        <v>187</v>
      </c>
      <c r="D43" s="89" t="s">
        <v>187</v>
      </c>
      <c r="E43" s="89" t="s">
        <v>187</v>
      </c>
      <c r="H43" s="52"/>
      <c r="L43" s="52"/>
      <c r="M43" s="52"/>
    </row>
    <row r="44" spans="1:13" x14ac:dyDescent="0.3">
      <c r="A44" s="89" t="s">
        <v>1077</v>
      </c>
      <c r="B44" s="85" t="s">
        <v>1078</v>
      </c>
      <c r="C44" s="89" t="s">
        <v>187</v>
      </c>
      <c r="D44" s="89" t="s">
        <v>187</v>
      </c>
      <c r="E44" s="89" t="s">
        <v>187</v>
      </c>
      <c r="H44" s="52"/>
      <c r="L44" s="52"/>
      <c r="M44" s="52"/>
    </row>
    <row r="45" spans="1:13" x14ac:dyDescent="0.3">
      <c r="A45" s="89" t="s">
        <v>1079</v>
      </c>
      <c r="B45" s="85" t="s">
        <v>1080</v>
      </c>
      <c r="C45" s="89" t="s">
        <v>187</v>
      </c>
      <c r="D45" s="89" t="s">
        <v>187</v>
      </c>
      <c r="E45" s="89" t="s">
        <v>187</v>
      </c>
      <c r="H45" s="52"/>
      <c r="L45" s="52"/>
      <c r="M45" s="52"/>
    </row>
    <row r="46" spans="1:13" x14ac:dyDescent="0.3">
      <c r="A46" s="89" t="s">
        <v>1081</v>
      </c>
      <c r="B46" s="85" t="s">
        <v>1082</v>
      </c>
      <c r="C46" s="89" t="s">
        <v>187</v>
      </c>
      <c r="D46" s="89" t="s">
        <v>187</v>
      </c>
      <c r="E46" s="89" t="s">
        <v>187</v>
      </c>
      <c r="H46" s="52"/>
      <c r="L46" s="52"/>
      <c r="M46" s="52"/>
    </row>
    <row r="47" spans="1:13" x14ac:dyDescent="0.3">
      <c r="A47" s="89" t="s">
        <v>1083</v>
      </c>
      <c r="B47" s="85" t="s">
        <v>1084</v>
      </c>
      <c r="C47" s="89" t="s">
        <v>187</v>
      </c>
      <c r="D47" s="89" t="s">
        <v>187</v>
      </c>
      <c r="E47" s="89" t="s">
        <v>187</v>
      </c>
      <c r="H47" s="52"/>
      <c r="L47" s="52"/>
      <c r="M47" s="52"/>
    </row>
    <row r="48" spans="1:13" x14ac:dyDescent="0.3">
      <c r="A48" s="89" t="s">
        <v>1085</v>
      </c>
      <c r="B48" s="85" t="s">
        <v>1086</v>
      </c>
      <c r="C48" s="89" t="s">
        <v>187</v>
      </c>
      <c r="D48" s="89" t="s">
        <v>187</v>
      </c>
      <c r="E48" s="89" t="s">
        <v>187</v>
      </c>
      <c r="H48" s="52"/>
      <c r="L48" s="52"/>
      <c r="M48" s="52"/>
    </row>
    <row r="49" spans="1:13" x14ac:dyDescent="0.3">
      <c r="A49" s="89" t="s">
        <v>1087</v>
      </c>
      <c r="B49" s="85" t="s">
        <v>1088</v>
      </c>
      <c r="C49" s="89" t="s">
        <v>187</v>
      </c>
      <c r="D49" s="89" t="s">
        <v>187</v>
      </c>
      <c r="E49" s="89" t="s">
        <v>187</v>
      </c>
      <c r="H49" s="52"/>
      <c r="L49" s="52"/>
      <c r="M49" s="52"/>
    </row>
    <row r="50" spans="1:13" x14ac:dyDescent="0.3">
      <c r="A50" s="89" t="s">
        <v>1089</v>
      </c>
      <c r="B50" s="85" t="s">
        <v>1090</v>
      </c>
      <c r="C50" s="89" t="s">
        <v>187</v>
      </c>
      <c r="D50" s="89" t="s">
        <v>187</v>
      </c>
      <c r="E50" s="89" t="s">
        <v>187</v>
      </c>
      <c r="H50" s="52"/>
      <c r="L50" s="52"/>
      <c r="M50" s="52"/>
    </row>
    <row r="51" spans="1:13" x14ac:dyDescent="0.3">
      <c r="A51" s="89" t="s">
        <v>1091</v>
      </c>
      <c r="B51" s="85" t="s">
        <v>1092</v>
      </c>
      <c r="C51" s="89" t="s">
        <v>187</v>
      </c>
      <c r="D51" s="89" t="s">
        <v>187</v>
      </c>
      <c r="E51" s="89" t="s">
        <v>187</v>
      </c>
      <c r="H51" s="52"/>
      <c r="L51" s="52"/>
      <c r="M51" s="52"/>
    </row>
    <row r="52" spans="1:13" x14ac:dyDescent="0.3">
      <c r="A52" s="89" t="s">
        <v>1093</v>
      </c>
      <c r="B52" s="85" t="s">
        <v>1094</v>
      </c>
      <c r="C52" s="89" t="s">
        <v>187</v>
      </c>
      <c r="D52" s="89" t="s">
        <v>187</v>
      </c>
      <c r="E52" s="89" t="s">
        <v>187</v>
      </c>
      <c r="H52" s="52"/>
      <c r="L52" s="52"/>
      <c r="M52" s="52"/>
    </row>
    <row r="53" spans="1:13" x14ac:dyDescent="0.3">
      <c r="A53" s="89" t="s">
        <v>1095</v>
      </c>
      <c r="B53" s="85" t="s">
        <v>1096</v>
      </c>
      <c r="C53" s="89" t="s">
        <v>187</v>
      </c>
      <c r="D53" s="89" t="s">
        <v>187</v>
      </c>
      <c r="E53" s="89" t="s">
        <v>187</v>
      </c>
      <c r="H53" s="52"/>
      <c r="L53" s="52"/>
      <c r="M53" s="52"/>
    </row>
    <row r="54" spans="1:13" x14ac:dyDescent="0.3">
      <c r="A54" s="89" t="s">
        <v>1097</v>
      </c>
      <c r="B54" s="85" t="s">
        <v>1098</v>
      </c>
      <c r="C54" s="89" t="s">
        <v>187</v>
      </c>
      <c r="D54" s="89" t="s">
        <v>187</v>
      </c>
      <c r="E54" s="89" t="s">
        <v>187</v>
      </c>
      <c r="H54" s="52"/>
      <c r="L54" s="52"/>
      <c r="M54" s="52"/>
    </row>
    <row r="55" spans="1:13" x14ac:dyDescent="0.3">
      <c r="A55" s="89" t="s">
        <v>1099</v>
      </c>
      <c r="B55" s="85" t="s">
        <v>1100</v>
      </c>
      <c r="C55" s="89" t="s">
        <v>187</v>
      </c>
      <c r="D55" s="89" t="s">
        <v>187</v>
      </c>
      <c r="E55" s="89" t="s">
        <v>187</v>
      </c>
      <c r="H55" s="52"/>
      <c r="L55" s="52"/>
      <c r="M55" s="52"/>
    </row>
    <row r="56" spans="1:13" x14ac:dyDescent="0.3">
      <c r="A56" s="89" t="s">
        <v>1101</v>
      </c>
      <c r="B56" s="85" t="s">
        <v>1102</v>
      </c>
      <c r="C56" s="89" t="s">
        <v>187</v>
      </c>
      <c r="D56" s="89" t="s">
        <v>187</v>
      </c>
      <c r="E56" s="89" t="s">
        <v>187</v>
      </c>
      <c r="H56" s="52"/>
      <c r="L56" s="52"/>
      <c r="M56" s="52"/>
    </row>
    <row r="57" spans="1:13" x14ac:dyDescent="0.3">
      <c r="A57" s="89" t="s">
        <v>1103</v>
      </c>
      <c r="B57" s="85" t="s">
        <v>1104</v>
      </c>
      <c r="C57" s="89" t="s">
        <v>187</v>
      </c>
      <c r="D57" s="89" t="s">
        <v>187</v>
      </c>
      <c r="E57" s="89" t="s">
        <v>187</v>
      </c>
      <c r="H57" s="52"/>
      <c r="L57" s="52"/>
      <c r="M57" s="52"/>
    </row>
    <row r="58" spans="1:13" x14ac:dyDescent="0.3">
      <c r="A58" s="89" t="s">
        <v>1105</v>
      </c>
      <c r="B58" s="85" t="s">
        <v>1106</v>
      </c>
      <c r="C58" s="89" t="s">
        <v>187</v>
      </c>
      <c r="D58" s="89" t="s">
        <v>187</v>
      </c>
      <c r="E58" s="89" t="s">
        <v>187</v>
      </c>
      <c r="H58" s="52"/>
      <c r="L58" s="52"/>
      <c r="M58" s="52"/>
    </row>
    <row r="59" spans="1:13" x14ac:dyDescent="0.3">
      <c r="A59" s="89" t="s">
        <v>1107</v>
      </c>
      <c r="B59" s="85" t="s">
        <v>1108</v>
      </c>
      <c r="C59" s="89" t="s">
        <v>187</v>
      </c>
      <c r="D59" s="89" t="s">
        <v>187</v>
      </c>
      <c r="E59" s="89" t="s">
        <v>187</v>
      </c>
      <c r="H59" s="52"/>
      <c r="L59" s="52"/>
      <c r="M59" s="52"/>
    </row>
    <row r="60" spans="1:13" outlineLevel="1" x14ac:dyDescent="0.3">
      <c r="A60" s="89" t="s">
        <v>1109</v>
      </c>
      <c r="B60" s="85"/>
      <c r="E60" s="85"/>
      <c r="F60" s="85"/>
      <c r="G60" s="85"/>
      <c r="H60" s="52"/>
      <c r="L60" s="52"/>
      <c r="M60" s="52"/>
    </row>
    <row r="61" spans="1:13" outlineLevel="1" x14ac:dyDescent="0.3">
      <c r="A61" s="89" t="s">
        <v>1110</v>
      </c>
      <c r="B61" s="85"/>
      <c r="E61" s="85"/>
      <c r="F61" s="85"/>
      <c r="G61" s="85"/>
      <c r="H61" s="52"/>
      <c r="L61" s="52"/>
      <c r="M61" s="52"/>
    </row>
    <row r="62" spans="1:13" outlineLevel="1" x14ac:dyDescent="0.3">
      <c r="A62" s="89" t="s">
        <v>1111</v>
      </c>
      <c r="B62" s="85"/>
      <c r="E62" s="85"/>
      <c r="F62" s="85"/>
      <c r="G62" s="85"/>
      <c r="H62" s="52"/>
      <c r="L62" s="52"/>
      <c r="M62" s="52"/>
    </row>
    <row r="63" spans="1:13" outlineLevel="1" x14ac:dyDescent="0.3">
      <c r="A63" s="89" t="s">
        <v>1112</v>
      </c>
      <c r="B63" s="85"/>
      <c r="E63" s="85"/>
      <c r="F63" s="85"/>
      <c r="G63" s="85"/>
      <c r="H63" s="52"/>
      <c r="L63" s="52"/>
      <c r="M63" s="52"/>
    </row>
    <row r="64" spans="1:13" outlineLevel="1" x14ac:dyDescent="0.3">
      <c r="A64" s="89" t="s">
        <v>1113</v>
      </c>
      <c r="B64" s="85"/>
      <c r="E64" s="85"/>
      <c r="F64" s="85"/>
      <c r="G64" s="85"/>
      <c r="H64" s="52"/>
      <c r="L64" s="52"/>
      <c r="M64" s="52"/>
    </row>
    <row r="65" spans="1:14" outlineLevel="1" x14ac:dyDescent="0.3">
      <c r="A65" s="89" t="s">
        <v>1114</v>
      </c>
      <c r="B65" s="85"/>
      <c r="E65" s="85"/>
      <c r="F65" s="85"/>
      <c r="G65" s="85"/>
      <c r="H65" s="52"/>
      <c r="L65" s="52"/>
      <c r="M65" s="52"/>
    </row>
    <row r="66" spans="1:14" outlineLevel="1" x14ac:dyDescent="0.3">
      <c r="A66" s="89" t="s">
        <v>1115</v>
      </c>
      <c r="B66" s="85"/>
      <c r="E66" s="85"/>
      <c r="F66" s="85"/>
      <c r="G66" s="85"/>
      <c r="H66" s="52"/>
      <c r="L66" s="52"/>
      <c r="M66" s="52"/>
    </row>
    <row r="67" spans="1:14" outlineLevel="1" x14ac:dyDescent="0.3">
      <c r="A67" s="89" t="s">
        <v>1116</v>
      </c>
      <c r="B67" s="85"/>
      <c r="E67" s="85"/>
      <c r="F67" s="85"/>
      <c r="G67" s="85"/>
      <c r="H67" s="52"/>
      <c r="L67" s="52"/>
      <c r="M67" s="52"/>
    </row>
    <row r="68" spans="1:14" outlineLevel="1" x14ac:dyDescent="0.3">
      <c r="A68" s="89" t="s">
        <v>1117</v>
      </c>
      <c r="B68" s="85"/>
      <c r="E68" s="85"/>
      <c r="F68" s="85"/>
      <c r="G68" s="85"/>
      <c r="H68" s="52"/>
      <c r="L68" s="52"/>
      <c r="M68" s="52"/>
    </row>
    <row r="69" spans="1:14" outlineLevel="1" x14ac:dyDescent="0.3">
      <c r="A69" s="89" t="s">
        <v>1118</v>
      </c>
      <c r="B69" s="85"/>
      <c r="E69" s="85"/>
      <c r="F69" s="85"/>
      <c r="G69" s="85"/>
      <c r="H69" s="52"/>
      <c r="L69" s="52"/>
      <c r="M69" s="52"/>
    </row>
    <row r="70" spans="1:14" outlineLevel="1" x14ac:dyDescent="0.3">
      <c r="A70" s="89" t="s">
        <v>1119</v>
      </c>
      <c r="B70" s="85"/>
      <c r="E70" s="85"/>
      <c r="F70" s="85"/>
      <c r="G70" s="85"/>
      <c r="H70" s="52"/>
      <c r="L70" s="52"/>
      <c r="M70" s="52"/>
    </row>
    <row r="71" spans="1:14" outlineLevel="1" x14ac:dyDescent="0.3">
      <c r="A71" s="89" t="s">
        <v>1120</v>
      </c>
      <c r="B71" s="85"/>
      <c r="E71" s="85"/>
      <c r="F71" s="85"/>
      <c r="G71" s="85"/>
      <c r="H71" s="52"/>
      <c r="L71" s="52"/>
      <c r="M71" s="52"/>
    </row>
    <row r="72" spans="1:14" outlineLevel="1" x14ac:dyDescent="0.3">
      <c r="A72" s="89" t="s">
        <v>1121</v>
      </c>
      <c r="B72" s="85"/>
      <c r="E72" s="85"/>
      <c r="F72" s="85"/>
      <c r="G72" s="85"/>
      <c r="H72" s="52"/>
      <c r="L72" s="52"/>
      <c r="M72" s="52"/>
    </row>
    <row r="73" spans="1:14" ht="18" x14ac:dyDescent="0.3">
      <c r="A73" s="15"/>
      <c r="B73" s="18" t="s">
        <v>1019</v>
      </c>
      <c r="C73" s="15"/>
      <c r="D73" s="15"/>
      <c r="E73" s="15"/>
      <c r="F73" s="15"/>
      <c r="G73" s="15"/>
      <c r="H73" s="52"/>
    </row>
    <row r="74" spans="1:14" ht="15" customHeight="1" x14ac:dyDescent="0.3">
      <c r="A74" s="58"/>
      <c r="B74" s="60" t="s">
        <v>898</v>
      </c>
      <c r="C74" s="58" t="s">
        <v>1122</v>
      </c>
      <c r="D74" s="58"/>
      <c r="E74" s="59"/>
      <c r="F74" s="59"/>
      <c r="G74" s="59"/>
      <c r="H74" s="51"/>
      <c r="I74" s="51"/>
      <c r="J74" s="51"/>
      <c r="K74" s="51"/>
      <c r="L74" s="51"/>
      <c r="M74" s="51"/>
      <c r="N74" s="51"/>
    </row>
    <row r="75" spans="1:14" x14ac:dyDescent="0.3">
      <c r="A75" s="89" t="s">
        <v>1123</v>
      </c>
      <c r="B75" s="89" t="s">
        <v>1124</v>
      </c>
      <c r="C75" s="89">
        <v>36.11</v>
      </c>
      <c r="H75" s="52"/>
    </row>
    <row r="76" spans="1:14" x14ac:dyDescent="0.3">
      <c r="A76" s="89" t="s">
        <v>1125</v>
      </c>
      <c r="B76" s="89" t="s">
        <v>1126</v>
      </c>
      <c r="C76" s="89">
        <v>210.89</v>
      </c>
      <c r="H76" s="52"/>
    </row>
    <row r="77" spans="1:14" outlineLevel="1" x14ac:dyDescent="0.3">
      <c r="A77" s="89" t="s">
        <v>1127</v>
      </c>
      <c r="B77" s="89" t="s">
        <v>1175</v>
      </c>
      <c r="C77" s="89">
        <v>450.57</v>
      </c>
      <c r="H77" s="52"/>
    </row>
    <row r="78" spans="1:14" outlineLevel="1" x14ac:dyDescent="0.3">
      <c r="A78" s="89" t="s">
        <v>1128</v>
      </c>
      <c r="H78" s="52"/>
    </row>
    <row r="79" spans="1:14" outlineLevel="1" x14ac:dyDescent="0.3">
      <c r="A79" s="89" t="s">
        <v>1129</v>
      </c>
      <c r="H79" s="52"/>
    </row>
    <row r="80" spans="1:14" outlineLevel="1" x14ac:dyDescent="0.3">
      <c r="A80" s="89" t="s">
        <v>1130</v>
      </c>
      <c r="H80" s="52"/>
    </row>
    <row r="81" spans="1:8" x14ac:dyDescent="0.3">
      <c r="A81" s="58"/>
      <c r="B81" s="60" t="s">
        <v>1131</v>
      </c>
      <c r="C81" s="58" t="s">
        <v>144</v>
      </c>
      <c r="D81" s="58" t="s">
        <v>145</v>
      </c>
      <c r="E81" s="59" t="s">
        <v>240</v>
      </c>
      <c r="F81" s="59" t="s">
        <v>250</v>
      </c>
      <c r="G81" s="59" t="s">
        <v>1132</v>
      </c>
      <c r="H81" s="52"/>
    </row>
    <row r="82" spans="1:8" x14ac:dyDescent="0.3">
      <c r="A82" s="89" t="s">
        <v>1133</v>
      </c>
      <c r="B82" s="89" t="s">
        <v>1134</v>
      </c>
      <c r="C82" s="127">
        <v>1.0995254791798957E-2</v>
      </c>
      <c r="D82" s="127">
        <v>2.8153751575026375E-2</v>
      </c>
      <c r="E82" s="89" t="s">
        <v>187</v>
      </c>
      <c r="F82" s="89" t="s">
        <v>187</v>
      </c>
      <c r="G82" s="127">
        <v>1.901426838773719E-2</v>
      </c>
      <c r="H82" s="52"/>
    </row>
    <row r="83" spans="1:8" x14ac:dyDescent="0.3">
      <c r="A83" s="89" t="s">
        <v>1135</v>
      </c>
      <c r="B83" s="89" t="s">
        <v>1136</v>
      </c>
      <c r="C83" s="127">
        <v>2.0408944561743666E-3</v>
      </c>
      <c r="D83" s="127">
        <v>1.6561720332259045E-3</v>
      </c>
      <c r="E83" s="89" t="s">
        <v>187</v>
      </c>
      <c r="F83" s="89" t="s">
        <v>187</v>
      </c>
      <c r="G83" s="127">
        <v>1.8610946532393114E-3</v>
      </c>
      <c r="H83" s="52"/>
    </row>
    <row r="84" spans="1:8" x14ac:dyDescent="0.3">
      <c r="A84" s="89" t="s">
        <v>1137</v>
      </c>
      <c r="B84" s="89" t="s">
        <v>1138</v>
      </c>
      <c r="C84" s="127">
        <v>3.7705774519608608E-4</v>
      </c>
      <c r="D84" s="127">
        <v>2.7403652662389053E-3</v>
      </c>
      <c r="E84" s="89" t="s">
        <v>187</v>
      </c>
      <c r="F84" s="89" t="s">
        <v>187</v>
      </c>
      <c r="G84" s="127">
        <v>1.4815481549358619E-3</v>
      </c>
      <c r="H84" s="52"/>
    </row>
    <row r="85" spans="1:8" x14ac:dyDescent="0.3">
      <c r="A85" s="89" t="s">
        <v>1139</v>
      </c>
      <c r="B85" s="89" t="s">
        <v>1140</v>
      </c>
      <c r="C85" s="127">
        <v>5.0665410898261817E-5</v>
      </c>
      <c r="D85" s="127">
        <v>0</v>
      </c>
      <c r="E85" s="89" t="s">
        <v>187</v>
      </c>
      <c r="F85" s="89" t="s">
        <v>187</v>
      </c>
      <c r="G85" s="127">
        <v>2.6986960275820966E-5</v>
      </c>
      <c r="H85" s="52"/>
    </row>
    <row r="86" spans="1:8" x14ac:dyDescent="0.3">
      <c r="A86" s="89" t="s">
        <v>1141</v>
      </c>
      <c r="B86" s="89" t="s">
        <v>1142</v>
      </c>
      <c r="C86" s="127">
        <v>0</v>
      </c>
      <c r="D86" s="127">
        <v>0</v>
      </c>
      <c r="E86" s="89" t="s">
        <v>187</v>
      </c>
      <c r="F86" s="89" t="s">
        <v>187</v>
      </c>
      <c r="G86" s="127">
        <v>0</v>
      </c>
      <c r="H86" s="52"/>
    </row>
    <row r="87" spans="1:8" outlineLevel="1" x14ac:dyDescent="0.3">
      <c r="A87" s="89" t="s">
        <v>1143</v>
      </c>
      <c r="H87" s="52"/>
    </row>
    <row r="88" spans="1:8" outlineLevel="1" x14ac:dyDescent="0.3">
      <c r="A88" s="89" t="s">
        <v>1144</v>
      </c>
      <c r="H88" s="52"/>
    </row>
    <row r="89" spans="1:8" outlineLevel="1" x14ac:dyDescent="0.3">
      <c r="A89" s="89" t="s">
        <v>1145</v>
      </c>
      <c r="H89" s="52"/>
    </row>
    <row r="90" spans="1:8" outlineLevel="1" x14ac:dyDescent="0.3">
      <c r="A90" s="89" t="s">
        <v>1146</v>
      </c>
      <c r="H90" s="52"/>
    </row>
    <row r="91" spans="1:8" x14ac:dyDescent="0.3">
      <c r="H91" s="52"/>
    </row>
    <row r="92" spans="1:8" x14ac:dyDescent="0.3">
      <c r="H92" s="52"/>
    </row>
    <row r="93" spans="1:8" x14ac:dyDescent="0.3">
      <c r="H93" s="52"/>
    </row>
    <row r="94" spans="1:8" x14ac:dyDescent="0.3">
      <c r="H94" s="52"/>
    </row>
    <row r="95" spans="1:8" x14ac:dyDescent="0.3">
      <c r="H95" s="52"/>
    </row>
    <row r="96" spans="1:8" x14ac:dyDescent="0.3">
      <c r="H96" s="52"/>
    </row>
    <row r="97" spans="8:8" x14ac:dyDescent="0.3">
      <c r="H97" s="52"/>
    </row>
    <row r="98" spans="8:8" x14ac:dyDescent="0.3">
      <c r="H98" s="52"/>
    </row>
    <row r="99" spans="8:8" x14ac:dyDescent="0.3">
      <c r="H99" s="52"/>
    </row>
    <row r="100" spans="8:8" x14ac:dyDescent="0.3">
      <c r="H100" s="52"/>
    </row>
    <row r="101" spans="8:8" x14ac:dyDescent="0.3">
      <c r="H101" s="52"/>
    </row>
    <row r="102" spans="8:8" x14ac:dyDescent="0.3">
      <c r="H102" s="52"/>
    </row>
    <row r="103" spans="8:8" x14ac:dyDescent="0.3">
      <c r="H103" s="52"/>
    </row>
    <row r="104" spans="8:8" x14ac:dyDescent="0.3">
      <c r="H104" s="52"/>
    </row>
    <row r="105" spans="8:8" x14ac:dyDescent="0.3">
      <c r="H105" s="52"/>
    </row>
    <row r="106" spans="8:8" x14ac:dyDescent="0.3">
      <c r="H106" s="52"/>
    </row>
    <row r="107" spans="8:8" x14ac:dyDescent="0.3">
      <c r="H107" s="52"/>
    </row>
    <row r="108" spans="8:8" x14ac:dyDescent="0.3">
      <c r="H108" s="52"/>
    </row>
    <row r="109" spans="8:8" x14ac:dyDescent="0.3">
      <c r="H109" s="52"/>
    </row>
    <row r="110" spans="8:8" x14ac:dyDescent="0.3">
      <c r="H110" s="52"/>
    </row>
    <row r="111" spans="8:8" x14ac:dyDescent="0.3">
      <c r="H111" s="52"/>
    </row>
    <row r="112" spans="8:8" x14ac:dyDescent="0.3">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heetViews>
  <sheetFormatPr defaultColWidth="9.109375" defaultRowHeight="14.4" x14ac:dyDescent="0.3"/>
  <cols>
    <col min="1" max="1" width="242" style="86" customWidth="1" collapsed="1"/>
    <col min="2" max="16384" width="9.109375" style="86" collapsed="1"/>
  </cols>
  <sheetData>
    <row r="1" spans="1:1" ht="31.2" x14ac:dyDescent="0.3">
      <c r="A1" s="19" t="s">
        <v>259</v>
      </c>
    </row>
    <row r="3" spans="1:1" ht="15" x14ac:dyDescent="0.3">
      <c r="A3" s="97"/>
    </row>
    <row r="4" spans="1:1" ht="34.799999999999997" x14ac:dyDescent="0.3">
      <c r="A4" s="98" t="s">
        <v>260</v>
      </c>
    </row>
    <row r="5" spans="1:1" ht="34.799999999999997" x14ac:dyDescent="0.3">
      <c r="A5" s="98" t="s">
        <v>261</v>
      </c>
    </row>
    <row r="6" spans="1:1" ht="52.2" x14ac:dyDescent="0.3">
      <c r="A6" s="98" t="s">
        <v>262</v>
      </c>
    </row>
    <row r="7" spans="1:1" ht="17.399999999999999" x14ac:dyDescent="0.3">
      <c r="A7" s="98"/>
    </row>
    <row r="8" spans="1:1" ht="18" x14ac:dyDescent="0.3">
      <c r="A8" s="99" t="s">
        <v>263</v>
      </c>
    </row>
    <row r="9" spans="1:1" ht="34.799999999999997" x14ac:dyDescent="0.35">
      <c r="A9" s="100" t="s">
        <v>264</v>
      </c>
    </row>
    <row r="10" spans="1:1" ht="87" x14ac:dyDescent="0.3">
      <c r="A10" s="101" t="s">
        <v>265</v>
      </c>
    </row>
    <row r="11" spans="1:1" ht="34.799999999999997" x14ac:dyDescent="0.3">
      <c r="A11" s="101" t="s">
        <v>266</v>
      </c>
    </row>
    <row r="12" spans="1:1" ht="17.399999999999999" x14ac:dyDescent="0.3">
      <c r="A12" s="101" t="s">
        <v>267</v>
      </c>
    </row>
    <row r="13" spans="1:1" ht="17.399999999999999" x14ac:dyDescent="0.3">
      <c r="A13" s="101" t="s">
        <v>268</v>
      </c>
    </row>
    <row r="14" spans="1:1" ht="34.799999999999997" x14ac:dyDescent="0.3">
      <c r="A14" s="101" t="s">
        <v>269</v>
      </c>
    </row>
    <row r="15" spans="1:1" ht="17.399999999999999" x14ac:dyDescent="0.3">
      <c r="A15" s="101"/>
    </row>
    <row r="16" spans="1:1" ht="18" x14ac:dyDescent="0.3">
      <c r="A16" s="99" t="s">
        <v>270</v>
      </c>
    </row>
    <row r="17" spans="1:1" ht="17.399999999999999" x14ac:dyDescent="0.3">
      <c r="A17" s="102" t="s">
        <v>271</v>
      </c>
    </row>
    <row r="18" spans="1:1" ht="34.799999999999997" x14ac:dyDescent="0.3">
      <c r="A18" s="103" t="s">
        <v>272</v>
      </c>
    </row>
    <row r="19" spans="1:1" ht="34.799999999999997" x14ac:dyDescent="0.3">
      <c r="A19" s="103" t="s">
        <v>273</v>
      </c>
    </row>
    <row r="20" spans="1:1" ht="52.2" x14ac:dyDescent="0.3">
      <c r="A20" s="103" t="s">
        <v>274</v>
      </c>
    </row>
    <row r="21" spans="1:1" ht="87" x14ac:dyDescent="0.3">
      <c r="A21" s="103" t="s">
        <v>275</v>
      </c>
    </row>
    <row r="22" spans="1:1" ht="52.2" x14ac:dyDescent="0.3">
      <c r="A22" s="103" t="s">
        <v>276</v>
      </c>
    </row>
    <row r="23" spans="1:1" ht="34.799999999999997" x14ac:dyDescent="0.3">
      <c r="A23" s="103" t="s">
        <v>277</v>
      </c>
    </row>
    <row r="24" spans="1:1" ht="17.399999999999999" x14ac:dyDescent="0.3">
      <c r="A24" s="103" t="s">
        <v>278</v>
      </c>
    </row>
    <row r="25" spans="1:1" ht="17.399999999999999" x14ac:dyDescent="0.3">
      <c r="A25" s="102" t="s">
        <v>279</v>
      </c>
    </row>
    <row r="26" spans="1:1" ht="52.2" x14ac:dyDescent="0.35">
      <c r="A26" s="104" t="s">
        <v>280</v>
      </c>
    </row>
    <row r="27" spans="1:1" ht="17.399999999999999" x14ac:dyDescent="0.35">
      <c r="A27" s="104" t="s">
        <v>281</v>
      </c>
    </row>
    <row r="28" spans="1:1" ht="17.399999999999999" x14ac:dyDescent="0.3">
      <c r="A28" s="102" t="s">
        <v>282</v>
      </c>
    </row>
    <row r="29" spans="1:1" ht="34.799999999999997" x14ac:dyDescent="0.3">
      <c r="A29" s="103" t="s">
        <v>283</v>
      </c>
    </row>
    <row r="30" spans="1:1" ht="34.799999999999997" x14ac:dyDescent="0.3">
      <c r="A30" s="103" t="s">
        <v>284</v>
      </c>
    </row>
    <row r="31" spans="1:1" ht="34.799999999999997" x14ac:dyDescent="0.3">
      <c r="A31" s="103" t="s">
        <v>285</v>
      </c>
    </row>
    <row r="32" spans="1:1" ht="34.799999999999997" x14ac:dyDescent="0.3">
      <c r="A32" s="103" t="s">
        <v>286</v>
      </c>
    </row>
    <row r="33" spans="1:1" ht="17.399999999999999" x14ac:dyDescent="0.3">
      <c r="A33" s="103"/>
    </row>
    <row r="34" spans="1:1" ht="18" x14ac:dyDescent="0.3">
      <c r="A34" s="99" t="s">
        <v>287</v>
      </c>
    </row>
    <row r="35" spans="1:1" ht="17.399999999999999" x14ac:dyDescent="0.3">
      <c r="A35" s="102" t="s">
        <v>288</v>
      </c>
    </row>
    <row r="36" spans="1:1" ht="34.799999999999997" x14ac:dyDescent="0.3">
      <c r="A36" s="103" t="s">
        <v>289</v>
      </c>
    </row>
    <row r="37" spans="1:1" ht="34.799999999999997" x14ac:dyDescent="0.3">
      <c r="A37" s="103" t="s">
        <v>290</v>
      </c>
    </row>
    <row r="38" spans="1:1" ht="34.799999999999997" x14ac:dyDescent="0.3">
      <c r="A38" s="103" t="s">
        <v>291</v>
      </c>
    </row>
    <row r="39" spans="1:1" ht="17.399999999999999" x14ac:dyDescent="0.3">
      <c r="A39" s="103" t="s">
        <v>292</v>
      </c>
    </row>
    <row r="40" spans="1:1" ht="34.799999999999997" x14ac:dyDescent="0.3">
      <c r="A40" s="103" t="s">
        <v>293</v>
      </c>
    </row>
    <row r="41" spans="1:1" ht="17.399999999999999" x14ac:dyDescent="0.3">
      <c r="A41" s="102" t="s">
        <v>294</v>
      </c>
    </row>
    <row r="42" spans="1:1" ht="17.399999999999999" x14ac:dyDescent="0.3">
      <c r="A42" s="103" t="s">
        <v>295</v>
      </c>
    </row>
    <row r="43" spans="1:1" ht="17.399999999999999" x14ac:dyDescent="0.35">
      <c r="A43" s="104" t="s">
        <v>296</v>
      </c>
    </row>
    <row r="44" spans="1:1" ht="17.399999999999999" x14ac:dyDescent="0.3">
      <c r="A44" s="102" t="s">
        <v>297</v>
      </c>
    </row>
    <row r="45" spans="1:1" ht="34.799999999999997" x14ac:dyDescent="0.35">
      <c r="A45" s="104" t="s">
        <v>298</v>
      </c>
    </row>
    <row r="46" spans="1:1" ht="34.799999999999997" x14ac:dyDescent="0.3">
      <c r="A46" s="103" t="s">
        <v>299</v>
      </c>
    </row>
    <row r="47" spans="1:1" ht="52.2" x14ac:dyDescent="0.3">
      <c r="A47" s="103" t="s">
        <v>300</v>
      </c>
    </row>
    <row r="48" spans="1:1" ht="17.399999999999999" x14ac:dyDescent="0.3">
      <c r="A48" s="103" t="s">
        <v>301</v>
      </c>
    </row>
    <row r="49" spans="1:1" ht="17.399999999999999" x14ac:dyDescent="0.35">
      <c r="A49" s="104" t="s">
        <v>302</v>
      </c>
    </row>
    <row r="50" spans="1:1" ht="17.399999999999999" x14ac:dyDescent="0.3">
      <c r="A50" s="102" t="s">
        <v>303</v>
      </c>
    </row>
    <row r="51" spans="1:1" ht="34.799999999999997" x14ac:dyDescent="0.35">
      <c r="A51" s="104" t="s">
        <v>304</v>
      </c>
    </row>
    <row r="52" spans="1:1" ht="17.399999999999999" x14ac:dyDescent="0.3">
      <c r="A52" s="103" t="s">
        <v>305</v>
      </c>
    </row>
    <row r="53" spans="1:1" ht="34.799999999999997" x14ac:dyDescent="0.35">
      <c r="A53" s="104" t="s">
        <v>306</v>
      </c>
    </row>
    <row r="54" spans="1:1" ht="17.399999999999999" x14ac:dyDescent="0.3">
      <c r="A54" s="102" t="s">
        <v>307</v>
      </c>
    </row>
    <row r="55" spans="1:1" ht="17.399999999999999" x14ac:dyDescent="0.35">
      <c r="A55" s="104" t="s">
        <v>308</v>
      </c>
    </row>
    <row r="56" spans="1:1" ht="34.799999999999997" x14ac:dyDescent="0.3">
      <c r="A56" s="103" t="s">
        <v>309</v>
      </c>
    </row>
    <row r="57" spans="1:1" ht="17.399999999999999" x14ac:dyDescent="0.3">
      <c r="A57" s="103" t="s">
        <v>310</v>
      </c>
    </row>
    <row r="58" spans="1:1" ht="34.799999999999997" x14ac:dyDescent="0.3">
      <c r="A58" s="103" t="s">
        <v>311</v>
      </c>
    </row>
    <row r="59" spans="1:1" ht="17.399999999999999" x14ac:dyDescent="0.3">
      <c r="A59" s="102" t="s">
        <v>312</v>
      </c>
    </row>
    <row r="60" spans="1:1" ht="34.799999999999997" x14ac:dyDescent="0.3">
      <c r="A60" s="103" t="s">
        <v>313</v>
      </c>
    </row>
    <row r="61" spans="1:1" ht="17.399999999999999" x14ac:dyDescent="0.3">
      <c r="A61" s="105"/>
    </row>
    <row r="62" spans="1:1" ht="18" x14ac:dyDescent="0.3">
      <c r="A62" s="99" t="s">
        <v>314</v>
      </c>
    </row>
    <row r="63" spans="1:1" ht="17.399999999999999" x14ac:dyDescent="0.3">
      <c r="A63" s="102" t="s">
        <v>315</v>
      </c>
    </row>
    <row r="64" spans="1:1" ht="34.799999999999997" x14ac:dyDescent="0.3">
      <c r="A64" s="103" t="s">
        <v>316</v>
      </c>
    </row>
    <row r="65" spans="1:1" ht="17.399999999999999" x14ac:dyDescent="0.3">
      <c r="A65" s="103" t="s">
        <v>317</v>
      </c>
    </row>
    <row r="66" spans="1:1" ht="34.799999999999997" x14ac:dyDescent="0.3">
      <c r="A66" s="101" t="s">
        <v>318</v>
      </c>
    </row>
    <row r="67" spans="1:1" ht="34.799999999999997" x14ac:dyDescent="0.3">
      <c r="A67" s="101" t="s">
        <v>319</v>
      </c>
    </row>
    <row r="68" spans="1:1" ht="34.799999999999997" x14ac:dyDescent="0.3">
      <c r="A68" s="101" t="s">
        <v>320</v>
      </c>
    </row>
    <row r="69" spans="1:1" ht="17.399999999999999" x14ac:dyDescent="0.3">
      <c r="A69" s="106" t="s">
        <v>321</v>
      </c>
    </row>
    <row r="70" spans="1:1" ht="52.2" x14ac:dyDescent="0.3">
      <c r="A70" s="101" t="s">
        <v>322</v>
      </c>
    </row>
    <row r="71" spans="1:1" ht="17.399999999999999" x14ac:dyDescent="0.3">
      <c r="A71" s="101" t="s">
        <v>323</v>
      </c>
    </row>
    <row r="72" spans="1:1" ht="17.399999999999999" x14ac:dyDescent="0.3">
      <c r="A72" s="106" t="s">
        <v>324</v>
      </c>
    </row>
    <row r="73" spans="1:1" ht="17.399999999999999" x14ac:dyDescent="0.3">
      <c r="A73" s="101" t="s">
        <v>325</v>
      </c>
    </row>
    <row r="74" spans="1:1" ht="17.399999999999999" x14ac:dyDescent="0.3">
      <c r="A74" s="106" t="s">
        <v>326</v>
      </c>
    </row>
    <row r="75" spans="1:1" ht="34.799999999999997" x14ac:dyDescent="0.3">
      <c r="A75" s="101" t="s">
        <v>327</v>
      </c>
    </row>
    <row r="76" spans="1:1" ht="17.399999999999999" x14ac:dyDescent="0.3">
      <c r="A76" s="101" t="s">
        <v>328</v>
      </c>
    </row>
    <row r="77" spans="1:1" ht="52.2" x14ac:dyDescent="0.3">
      <c r="A77" s="101" t="s">
        <v>329</v>
      </c>
    </row>
    <row r="78" spans="1:1" ht="17.399999999999999" x14ac:dyDescent="0.3">
      <c r="A78" s="106" t="s">
        <v>330</v>
      </c>
    </row>
    <row r="79" spans="1:1" ht="17.399999999999999" x14ac:dyDescent="0.35">
      <c r="A79" s="100" t="s">
        <v>331</v>
      </c>
    </row>
    <row r="80" spans="1:1" ht="17.399999999999999" x14ac:dyDescent="0.3">
      <c r="A80" s="106" t="s">
        <v>332</v>
      </c>
    </row>
    <row r="81" spans="1:1" ht="34.799999999999997" x14ac:dyDescent="0.3">
      <c r="A81" s="101" t="s">
        <v>333</v>
      </c>
    </row>
    <row r="82" spans="1:1" ht="34.799999999999997" x14ac:dyDescent="0.3">
      <c r="A82" s="101" t="s">
        <v>334</v>
      </c>
    </row>
    <row r="83" spans="1:1" ht="34.799999999999997" x14ac:dyDescent="0.3">
      <c r="A83" s="101" t="s">
        <v>335</v>
      </c>
    </row>
    <row r="84" spans="1:1" ht="34.799999999999997" x14ac:dyDescent="0.3">
      <c r="A84" s="101" t="s">
        <v>336</v>
      </c>
    </row>
    <row r="85" spans="1:1" ht="34.799999999999997" x14ac:dyDescent="0.3">
      <c r="A85" s="101" t="s">
        <v>337</v>
      </c>
    </row>
    <row r="86" spans="1:1" ht="17.399999999999999" x14ac:dyDescent="0.3">
      <c r="A86" s="106" t="s">
        <v>338</v>
      </c>
    </row>
    <row r="87" spans="1:1" ht="17.399999999999999" x14ac:dyDescent="0.3">
      <c r="A87" s="101" t="s">
        <v>339</v>
      </c>
    </row>
    <row r="88" spans="1:1" ht="34.799999999999997" x14ac:dyDescent="0.3">
      <c r="A88" s="101" t="s">
        <v>340</v>
      </c>
    </row>
    <row r="89" spans="1:1" ht="17.399999999999999" x14ac:dyDescent="0.3">
      <c r="A89" s="106" t="s">
        <v>341</v>
      </c>
    </row>
    <row r="90" spans="1:1" ht="34.799999999999997" x14ac:dyDescent="0.3">
      <c r="A90" s="101" t="s">
        <v>342</v>
      </c>
    </row>
    <row r="91" spans="1:1" ht="17.399999999999999" x14ac:dyDescent="0.3">
      <c r="A91" s="106" t="s">
        <v>343</v>
      </c>
    </row>
    <row r="92" spans="1:1" ht="17.399999999999999" x14ac:dyDescent="0.35">
      <c r="A92" s="100" t="s">
        <v>344</v>
      </c>
    </row>
    <row r="93" spans="1:1" ht="17.399999999999999" x14ac:dyDescent="0.3">
      <c r="A93" s="101" t="s">
        <v>345</v>
      </c>
    </row>
    <row r="94" spans="1:1" ht="17.399999999999999" x14ac:dyDescent="0.3">
      <c r="A94" s="101"/>
    </row>
    <row r="95" spans="1:1" ht="18" x14ac:dyDescent="0.3">
      <c r="A95" s="99" t="s">
        <v>346</v>
      </c>
    </row>
    <row r="96" spans="1:1" ht="34.799999999999997" x14ac:dyDescent="0.35">
      <c r="A96" s="100" t="s">
        <v>347</v>
      </c>
    </row>
    <row r="97" spans="1:1" ht="17.399999999999999" x14ac:dyDescent="0.35">
      <c r="A97" s="100" t="s">
        <v>348</v>
      </c>
    </row>
    <row r="98" spans="1:1" ht="17.399999999999999" x14ac:dyDescent="0.3">
      <c r="A98" s="106" t="s">
        <v>349</v>
      </c>
    </row>
    <row r="99" spans="1:1" ht="17.399999999999999" x14ac:dyDescent="0.3">
      <c r="A99" s="98" t="s">
        <v>350</v>
      </c>
    </row>
    <row r="100" spans="1:1" ht="17.399999999999999" x14ac:dyDescent="0.3">
      <c r="A100" s="101" t="s">
        <v>351</v>
      </c>
    </row>
    <row r="101" spans="1:1" ht="17.399999999999999" x14ac:dyDescent="0.3">
      <c r="A101" s="101" t="s">
        <v>352</v>
      </c>
    </row>
    <row r="102" spans="1:1" ht="17.399999999999999" x14ac:dyDescent="0.3">
      <c r="A102" s="101" t="s">
        <v>353</v>
      </c>
    </row>
    <row r="103" spans="1:1" ht="17.399999999999999" x14ac:dyDescent="0.3">
      <c r="A103" s="101" t="s">
        <v>354</v>
      </c>
    </row>
    <row r="104" spans="1:1" ht="34.799999999999997" x14ac:dyDescent="0.3">
      <c r="A104" s="101" t="s">
        <v>355</v>
      </c>
    </row>
    <row r="105" spans="1:1" ht="17.399999999999999" x14ac:dyDescent="0.3">
      <c r="A105" s="98" t="s">
        <v>356</v>
      </c>
    </row>
    <row r="106" spans="1:1" ht="17.399999999999999" x14ac:dyDescent="0.3">
      <c r="A106" s="101" t="s">
        <v>357</v>
      </c>
    </row>
    <row r="107" spans="1:1" ht="17.399999999999999" x14ac:dyDescent="0.3">
      <c r="A107" s="101" t="s">
        <v>358</v>
      </c>
    </row>
    <row r="108" spans="1:1" ht="17.399999999999999" x14ac:dyDescent="0.3">
      <c r="A108" s="101" t="s">
        <v>359</v>
      </c>
    </row>
    <row r="109" spans="1:1" ht="17.399999999999999" x14ac:dyDescent="0.3">
      <c r="A109" s="101" t="s">
        <v>360</v>
      </c>
    </row>
    <row r="110" spans="1:1" ht="17.399999999999999" x14ac:dyDescent="0.3">
      <c r="A110" s="101" t="s">
        <v>361</v>
      </c>
    </row>
    <row r="111" spans="1:1" ht="17.399999999999999" x14ac:dyDescent="0.3">
      <c r="A111" s="101" t="s">
        <v>362</v>
      </c>
    </row>
    <row r="112" spans="1:1" ht="17.399999999999999" x14ac:dyDescent="0.3">
      <c r="A112" s="106" t="s">
        <v>363</v>
      </c>
    </row>
    <row r="113" spans="1:1" ht="17.399999999999999" x14ac:dyDescent="0.3">
      <c r="A113" s="101" t="s">
        <v>364</v>
      </c>
    </row>
    <row r="114" spans="1:1" ht="17.399999999999999" x14ac:dyDescent="0.3">
      <c r="A114" s="98" t="s">
        <v>365</v>
      </c>
    </row>
    <row r="115" spans="1:1" ht="17.399999999999999" x14ac:dyDescent="0.3">
      <c r="A115" s="101" t="s">
        <v>366</v>
      </c>
    </row>
    <row r="116" spans="1:1" ht="17.399999999999999" x14ac:dyDescent="0.3">
      <c r="A116" s="101" t="s">
        <v>367</v>
      </c>
    </row>
    <row r="117" spans="1:1" ht="17.399999999999999" x14ac:dyDescent="0.3">
      <c r="A117" s="98" t="s">
        <v>368</v>
      </c>
    </row>
    <row r="118" spans="1:1" ht="17.399999999999999" x14ac:dyDescent="0.3">
      <c r="A118" s="101" t="s">
        <v>369</v>
      </c>
    </row>
    <row r="119" spans="1:1" ht="17.399999999999999" x14ac:dyDescent="0.3">
      <c r="A119" s="101" t="s">
        <v>370</v>
      </c>
    </row>
    <row r="120" spans="1:1" ht="17.399999999999999" x14ac:dyDescent="0.3">
      <c r="A120" s="101" t="s">
        <v>371</v>
      </c>
    </row>
    <row r="121" spans="1:1" ht="17.399999999999999" x14ac:dyDescent="0.3">
      <c r="A121" s="106" t="s">
        <v>372</v>
      </c>
    </row>
    <row r="122" spans="1:1" ht="17.399999999999999" x14ac:dyDescent="0.3">
      <c r="A122" s="98" t="s">
        <v>373</v>
      </c>
    </row>
    <row r="123" spans="1:1" ht="17.399999999999999" x14ac:dyDescent="0.3">
      <c r="A123" s="98" t="s">
        <v>374</v>
      </c>
    </row>
    <row r="124" spans="1:1" ht="17.399999999999999" x14ac:dyDescent="0.3">
      <c r="A124" s="101" t="s">
        <v>375</v>
      </c>
    </row>
    <row r="125" spans="1:1" ht="17.399999999999999" x14ac:dyDescent="0.3">
      <c r="A125" s="101" t="s">
        <v>376</v>
      </c>
    </row>
    <row r="126" spans="1:1" ht="17.399999999999999" x14ac:dyDescent="0.3">
      <c r="A126" s="101" t="s">
        <v>377</v>
      </c>
    </row>
    <row r="127" spans="1:1" ht="17.399999999999999" x14ac:dyDescent="0.3">
      <c r="A127" s="101" t="s">
        <v>378</v>
      </c>
    </row>
    <row r="128" spans="1:1" ht="17.399999999999999" x14ac:dyDescent="0.3">
      <c r="A128" s="101" t="s">
        <v>379</v>
      </c>
    </row>
    <row r="129" spans="1:1" ht="17.399999999999999" x14ac:dyDescent="0.3">
      <c r="A129" s="106" t="s">
        <v>380</v>
      </c>
    </row>
    <row r="130" spans="1:1" ht="34.799999999999997" x14ac:dyDescent="0.3">
      <c r="A130" s="101" t="s">
        <v>381</v>
      </c>
    </row>
    <row r="131" spans="1:1" ht="69.599999999999994" x14ac:dyDescent="0.3">
      <c r="A131" s="101" t="s">
        <v>382</v>
      </c>
    </row>
    <row r="132" spans="1:1" ht="34.799999999999997" x14ac:dyDescent="0.3">
      <c r="A132" s="101" t="s">
        <v>383</v>
      </c>
    </row>
    <row r="133" spans="1:1" ht="17.399999999999999" x14ac:dyDescent="0.3">
      <c r="A133" s="106" t="s">
        <v>384</v>
      </c>
    </row>
    <row r="134" spans="1:1" ht="34.799999999999997" x14ac:dyDescent="0.3">
      <c r="A134" s="98" t="s">
        <v>385</v>
      </c>
    </row>
    <row r="135" spans="1:1" ht="17.399999999999999" x14ac:dyDescent="0.3">
      <c r="A135" s="98"/>
    </row>
    <row r="136" spans="1:1" ht="18" x14ac:dyDescent="0.3">
      <c r="A136" s="99" t="s">
        <v>386</v>
      </c>
    </row>
    <row r="137" spans="1:1" ht="17.399999999999999" x14ac:dyDescent="0.3">
      <c r="A137" s="101" t="s">
        <v>387</v>
      </c>
    </row>
    <row r="138" spans="1:1" ht="34.799999999999997" x14ac:dyDescent="0.3">
      <c r="A138" s="103" t="s">
        <v>388</v>
      </c>
    </row>
    <row r="139" spans="1:1" ht="34.799999999999997" x14ac:dyDescent="0.3">
      <c r="A139" s="103" t="s">
        <v>389</v>
      </c>
    </row>
    <row r="140" spans="1:1" ht="17.399999999999999" x14ac:dyDescent="0.3">
      <c r="A140" s="102" t="s">
        <v>390</v>
      </c>
    </row>
    <row r="141" spans="1:1" ht="17.399999999999999" x14ac:dyDescent="0.3">
      <c r="A141" s="107" t="s">
        <v>391</v>
      </c>
    </row>
    <row r="142" spans="1:1" ht="34.799999999999997" x14ac:dyDescent="0.35">
      <c r="A142" s="104" t="s">
        <v>392</v>
      </c>
    </row>
    <row r="143" spans="1:1" ht="17.399999999999999" x14ac:dyDescent="0.3">
      <c r="A143" s="103" t="s">
        <v>393</v>
      </c>
    </row>
    <row r="144" spans="1:1" ht="17.399999999999999" x14ac:dyDescent="0.3">
      <c r="A144" s="103" t="s">
        <v>394</v>
      </c>
    </row>
    <row r="145" spans="1:1" ht="17.399999999999999" x14ac:dyDescent="0.3">
      <c r="A145" s="107" t="s">
        <v>395</v>
      </c>
    </row>
    <row r="146" spans="1:1" ht="17.399999999999999" x14ac:dyDescent="0.3">
      <c r="A146" s="102" t="s">
        <v>396</v>
      </c>
    </row>
    <row r="147" spans="1:1" ht="17.399999999999999" x14ac:dyDescent="0.3">
      <c r="A147" s="107" t="s">
        <v>397</v>
      </c>
    </row>
    <row r="148" spans="1:1" ht="17.399999999999999" x14ac:dyDescent="0.3">
      <c r="A148" s="103" t="s">
        <v>398</v>
      </c>
    </row>
    <row r="149" spans="1:1" ht="17.399999999999999" x14ac:dyDescent="0.3">
      <c r="A149" s="103" t="s">
        <v>399</v>
      </c>
    </row>
    <row r="150" spans="1:1" ht="17.399999999999999" x14ac:dyDescent="0.3">
      <c r="A150" s="103" t="s">
        <v>400</v>
      </c>
    </row>
    <row r="151" spans="1:1" ht="34.799999999999997" x14ac:dyDescent="0.3">
      <c r="A151" s="107" t="s">
        <v>401</v>
      </c>
    </row>
    <row r="152" spans="1:1" ht="17.399999999999999" x14ac:dyDescent="0.3">
      <c r="A152" s="102" t="s">
        <v>402</v>
      </c>
    </row>
    <row r="153" spans="1:1" ht="17.399999999999999" x14ac:dyDescent="0.3">
      <c r="A153" s="103" t="s">
        <v>403</v>
      </c>
    </row>
    <row r="154" spans="1:1" ht="17.399999999999999" x14ac:dyDescent="0.3">
      <c r="A154" s="103" t="s">
        <v>404</v>
      </c>
    </row>
    <row r="155" spans="1:1" ht="17.399999999999999" x14ac:dyDescent="0.3">
      <c r="A155" s="103" t="s">
        <v>405</v>
      </c>
    </row>
    <row r="156" spans="1:1" ht="17.399999999999999" x14ac:dyDescent="0.3">
      <c r="A156" s="103" t="s">
        <v>406</v>
      </c>
    </row>
    <row r="157" spans="1:1" ht="34.799999999999997" x14ac:dyDescent="0.3">
      <c r="A157" s="103" t="s">
        <v>407</v>
      </c>
    </row>
    <row r="158" spans="1:1" ht="34.799999999999997" x14ac:dyDescent="0.3">
      <c r="A158" s="103" t="s">
        <v>408</v>
      </c>
    </row>
    <row r="159" spans="1:1" ht="17.399999999999999" x14ac:dyDescent="0.3">
      <c r="A159" s="102" t="s">
        <v>409</v>
      </c>
    </row>
    <row r="160" spans="1:1" ht="34.799999999999997" x14ac:dyDescent="0.3">
      <c r="A160" s="103" t="s">
        <v>410</v>
      </c>
    </row>
    <row r="161" spans="1:1" ht="34.799999999999997" x14ac:dyDescent="0.3">
      <c r="A161" s="103" t="s">
        <v>411</v>
      </c>
    </row>
    <row r="162" spans="1:1" ht="17.399999999999999" x14ac:dyDescent="0.3">
      <c r="A162" s="103" t="s">
        <v>412</v>
      </c>
    </row>
    <row r="163" spans="1:1" ht="17.399999999999999" x14ac:dyDescent="0.3">
      <c r="A163" s="102" t="s">
        <v>413</v>
      </c>
    </row>
    <row r="164" spans="1:1" ht="34.799999999999997" x14ac:dyDescent="0.35">
      <c r="A164" s="104" t="s">
        <v>414</v>
      </c>
    </row>
    <row r="165" spans="1:1" ht="34.799999999999997" x14ac:dyDescent="0.3">
      <c r="A165" s="103" t="s">
        <v>415</v>
      </c>
    </row>
    <row r="166" spans="1:1" ht="17.399999999999999" x14ac:dyDescent="0.3">
      <c r="A166" s="102" t="s">
        <v>416</v>
      </c>
    </row>
    <row r="167" spans="1:1" ht="17.399999999999999" x14ac:dyDescent="0.3">
      <c r="A167" s="103" t="s">
        <v>417</v>
      </c>
    </row>
    <row r="168" spans="1:1" ht="17.399999999999999" x14ac:dyDescent="0.3">
      <c r="A168" s="102" t="s">
        <v>418</v>
      </c>
    </row>
    <row r="169" spans="1:1" ht="17.399999999999999" x14ac:dyDescent="0.35">
      <c r="A169" s="104" t="s">
        <v>419</v>
      </c>
    </row>
    <row r="170" spans="1:1" ht="17.399999999999999" x14ac:dyDescent="0.35">
      <c r="A170" s="104"/>
    </row>
    <row r="171" spans="1:1" ht="17.399999999999999" x14ac:dyDescent="0.35">
      <c r="A171" s="104"/>
    </row>
    <row r="172" spans="1:1" ht="17.399999999999999" x14ac:dyDescent="0.35">
      <c r="A172" s="104"/>
    </row>
    <row r="173" spans="1:1" ht="17.399999999999999" x14ac:dyDescent="0.35">
      <c r="A173" s="104"/>
    </row>
    <row r="174" spans="1:1" ht="17.399999999999999" x14ac:dyDescent="0.35">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Magdalena Zalewska</cp:lastModifiedBy>
  <cp:lastPrinted>2017-10-13T11:09:17Z</cp:lastPrinted>
  <dcterms:created xsi:type="dcterms:W3CDTF">2015-01-27T16:00:44Z</dcterms:created>
  <dcterms:modified xsi:type="dcterms:W3CDTF">2018-06-12T19:59:25Z</dcterms:modified>
</cp:coreProperties>
</file>